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nahmen" sheetId="1" state="visible" r:id="rId1"/>
    <sheet name="Plan" sheetId="2" state="visible" r:id="rId2"/>
    <sheet name="Ist" sheetId="3" state="visible" r:id="rId3"/>
    <sheet name="Vergleich" sheetId="4" state="visible" r:id="rId4"/>
    <sheet name="Steuern" sheetId="5" state="visible" r:id="rId5"/>
    <sheet name="Investitionen" sheetId="6" state="visible" r:id="rId6"/>
    <sheet name="Partner" sheetId="7" state="visible" r:id="rId7"/>
    <sheet name="Hinweise" sheetId="8" state="visible" r:id="rId8"/>
  </sheets>
  <definedNames/>
  <calcPr calcId="124519" fullCalcOnLoad="1"/>
</workbook>
</file>

<file path=xl/styles.xml><?xml version="1.0" encoding="utf-8"?>
<styleSheet xmlns="http://schemas.openxmlformats.org/spreadsheetml/2006/main">
  <numFmts count="3">
    <numFmt numFmtId="164" formatCode="#,##0 &quot;€&quot;"/>
    <numFmt numFmtId="165" formatCode="0.0%"/>
    <numFmt numFmtId="166" formatCode="0.0"/>
  </numFmts>
  <fonts count="4">
    <font>
      <name val="Calibri"/>
      <family val="2"/>
      <color theme="1"/>
      <sz val="11"/>
      <scheme val="minor"/>
    </font>
    <font>
      <b val="1"/>
      <sz val="14"/>
    </font>
    <font>
      <i val="1"/>
      <color rgb="00555555"/>
      <sz val="9"/>
    </font>
    <font>
      <b val="1"/>
    </font>
  </fonts>
  <fills count="4">
    <fill>
      <patternFill/>
    </fill>
    <fill>
      <patternFill patternType="gray125"/>
    </fill>
    <fill>
      <patternFill patternType="solid">
        <fgColor rgb="00FFF2A8"/>
      </patternFill>
    </fill>
    <fill>
      <patternFill patternType="solid">
        <fgColor rgb="00EDEDED"/>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1" fontId="0" fillId="2" borderId="1" pivotButton="0" quotePrefix="0" xfId="0"/>
    <xf numFmtId="164" fontId="0" fillId="2" borderId="1" pivotButton="0" quotePrefix="0" xfId="0"/>
    <xf numFmtId="165" fontId="0" fillId="2" borderId="1" pivotButton="0" quotePrefix="0" xfId="0"/>
    <xf numFmtId="166" fontId="0" fillId="2" borderId="1" pivotButton="0" quotePrefix="0" xfId="0"/>
    <xf numFmtId="1" fontId="0" fillId="3" borderId="1" pivotButton="0" quotePrefix="0" xfId="0"/>
    <xf numFmtId="0" fontId="3" fillId="0" borderId="0" applyAlignment="1" pivotButton="0" quotePrefix="0" xfId="0">
      <alignment vertical="top" wrapText="1"/>
    </xf>
    <xf numFmtId="164" fontId="3" fillId="3" borderId="1" pivotButton="0" quotePrefix="0" xfId="0"/>
    <xf numFmtId="164" fontId="0" fillId="3" borderId="1" pivotButton="0" quotePrefix="0" xfId="0"/>
    <xf numFmtId="0" fontId="0" fillId="3" borderId="1" pivotButton="0" quotePrefix="0" xfId="0"/>
    <xf numFmtId="165" fontId="3" fillId="3" borderId="1" pivotButton="0" quotePrefix="0" xfId="0"/>
    <xf numFmtId="166" fontId="3" fillId="3" borderId="1" pivotButton="0" quotePrefix="0" xfId="0"/>
    <xf numFmtId="0" fontId="3" fillId="3" borderId="1" pivotButton="0" quotePrefix="0" xfId="0"/>
    <xf numFmtId="165" fontId="0" fillId="3" borderId="1" pivotButton="0" quotePrefix="0" xfId="0"/>
    <xf numFmtId="0" fontId="0"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8" customWidth="1" min="1" max="1"/>
    <col width="16" customWidth="1" min="2" max="2"/>
    <col width="70" customWidth="1" min="3" max="3"/>
  </cols>
  <sheetData>
    <row r="1">
      <c r="A1" s="1" t="inlineStr">
        <is>
          <t>Budget der Kanzlei 2027 – Blatt 1: Annahmen</t>
        </is>
      </c>
    </row>
    <row r="2" ht="42" customHeight="1">
      <c r="A2" s="2" t="inlineStr">
        <is>
          <t>Gelbe Felder sind Eingaben (erfundene Beispielkanzlei aus dem Artikel: Einzelkanzlei für Erbrecht, seit Januar 2025, ab Juli 2027 mit ReFa halbtags), graue Felder rechnen. Alle Kanzleibeträge netto, ohne Umsatzsteuer. Stand: Rechtsstand 23.10.2026 (Steuertarif § 32a EStG ab 2026; Werte 2027 laut Entwurf sind markiert)</t>
        </is>
      </c>
    </row>
    <row r="4">
      <c r="A4" s="3" t="inlineStr">
        <is>
          <t>Planjahr</t>
        </is>
      </c>
      <c r="B4" s="4" t="n">
        <v>2027</v>
      </c>
      <c r="C4" s="2" t="inlineStr"/>
    </row>
    <row r="5">
      <c r="A5" s="3" t="inlineStr">
        <is>
          <t>Kanzleikonto am 1. Januar (ohne Fremdgeld, Umsatzsteuer und Kreditlinie)</t>
        </is>
      </c>
      <c r="B5" s="5" t="n">
        <v>18000</v>
      </c>
      <c r="C5" s="2" t="inlineStr">
        <is>
          <t>Fremdgeld ist unverzüglich weiterzuleiten oder auf ein Anderkonto einzuzahlen (§ 43a Abs. 7 BRAO); Umsatzsteuer, die noch an das Finanzamt geht, herausrechnen; eine Kreditlinie ist geliehenes Geld und zählt nicht</t>
        </is>
      </c>
    </row>
    <row r="6">
      <c r="A6" s="3" t="inlineStr">
        <is>
          <t>Steuerkonto am 1. Januar (schon zurückgelegt)</t>
        </is>
      </c>
      <c r="B6" s="5" t="n">
        <v>4000</v>
      </c>
      <c r="C6" s="2" t="inlineStr">
        <is>
          <t>eigenes Unterkonto nur für Einkommensteuer und Nachforderungen (auch der Krankenkasse); zählt nicht zur Reserve</t>
        </is>
      </c>
    </row>
    <row r="7">
      <c r="A7" s="3" t="inlineStr">
        <is>
          <t>Mindestbestand Kanzleikonto</t>
        </is>
      </c>
      <c r="B7" s="5" t="n">
        <v>10000</v>
      </c>
      <c r="C7" s="2" t="inlineStr">
        <is>
          <t>Ihre Untergrenze für den laufenden Zahlungsverkehr (Teil der Reserve); darunter warnt der Plan (Zeile 44)</t>
        </is>
      </c>
    </row>
    <row r="8">
      <c r="A8" s="3" t="inlineStr">
        <is>
          <t>Puffer auf die laufenden Kosten</t>
        </is>
      </c>
      <c r="B8" s="6" t="n">
        <v>0.05</v>
      </c>
      <c r="C8" s="2" t="inlineStr">
        <is>
          <t>für Unvorhergesehenes, wie in der Stundensatz-Kalkulation</t>
        </is>
      </c>
    </row>
    <row r="9">
      <c r="A9" s="3" t="inlineStr">
        <is>
          <t>Entnahme für den Lebensunterhalt je Monat</t>
        </is>
      </c>
      <c r="B9" s="5" t="n">
        <v>2900</v>
      </c>
      <c r="C9" s="2" t="inlineStr">
        <is>
          <t>ohne Versorgungswerk, Krankenversicherung, Einkommensteuer und Tilgung (die stehen einzeln im Plan); tragfähig nach allen Zahlungen des Jahres: Blatt „Steuern“, Zeile 26</t>
        </is>
      </c>
    </row>
    <row r="10">
      <c r="A10" s="3" t="inlineStr">
        <is>
          <t>Versorgungswerk je Monat</t>
        </is>
      </c>
      <c r="B10" s="5" t="n">
        <v>1330</v>
      </c>
      <c r="C10" s="2" t="inlineStr">
        <is>
          <t>laut Beitragsbescheid; im Beispiel rund 18,6 % auf den erwarteten Gewinn (Satzung Ihres Versorgungswerks prüfen)</t>
        </is>
      </c>
    </row>
    <row r="11">
      <c r="A11" s="3" t="inlineStr">
        <is>
          <t>Rücklagesatz: Anteil jedes Honorareingangs auf das Steuerkonto</t>
        </is>
      </c>
      <c r="B11" s="6" t="n">
        <v>0.27</v>
      </c>
      <c r="C11" s="2" t="inlineStr">
        <is>
          <t>Vorschlag in Blatt „Steuern“, Zeile 23; reicht er übers Jahr, prüfen Sie im Plan (Zeile 43), ob er auch im Monat der Nachzahlung reicht</t>
        </is>
      </c>
    </row>
    <row r="12">
      <c r="A12" s="3" t="inlineStr">
        <is>
          <t>Vergleich Plan/Ist bis einschließlich Monat</t>
        </is>
      </c>
      <c r="B12" s="4" t="n">
        <v>3</v>
      </c>
      <c r="C12" s="2" t="inlineStr">
        <is>
          <t>1 = Januar … 12 = Dezember (Blatt „Vergleich“)</t>
        </is>
      </c>
    </row>
    <row r="13">
      <c r="A13" s="3" t="inlineStr">
        <is>
          <t>Ziel Reserve auf dem Kanzleikonto (in Monatskosten)</t>
        </is>
      </c>
      <c r="B13" s="7" t="n">
        <v>3</v>
      </c>
      <c r="C13" s="2" t="inlineStr">
        <is>
          <t>Richtwert etwa drei Monatskosten (Annahme, wie in den Beiträgen zu Liquidität und Kennzahlen); Prüfung im Plan, Zeile 51</t>
        </is>
      </c>
    </row>
  </sheetData>
  <mergeCells count="1">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5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0"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2" customWidth="1" min="14" max="14"/>
    <col width="56" customWidth="1" min="15" max="15"/>
  </cols>
  <sheetData>
    <row r="1">
      <c r="A1" s="1" t="inlineStr">
        <is>
          <t>Blatt 2: Budget 2027 nach Monaten (Plan)</t>
        </is>
      </c>
    </row>
    <row r="2" ht="30" customHeight="1">
      <c r="A2" s="2" t="inlineStr">
        <is>
          <t>Einnahmen-Überschuss-Rechnung (§ 4 Abs. 3 EStG): Es zählt, was im Monat eingeht und bezahlt wird (§ 11 EStG). Zeilen 7–23 und 35 sind Eingaben, der Rest rechnet. Nicht enthalten: Umsatzsteuer, Fremdgeld und durchlaufende Posten (z. B. Gerichtskosten, die Sie im Namen und für Rechnung des Mandanten vorstrecken, § 4 Abs. 3 Satz 2 EStG).</t>
        </is>
      </c>
    </row>
    <row r="4">
      <c r="A4" s="2" t="inlineStr">
        <is>
          <t>Monat (Nummer)</t>
        </is>
      </c>
      <c r="B4" s="8" t="n">
        <v>1</v>
      </c>
      <c r="C4" s="8" t="n">
        <v>2</v>
      </c>
      <c r="D4" s="8" t="n">
        <v>3</v>
      </c>
      <c r="E4" s="8" t="n">
        <v>4</v>
      </c>
      <c r="F4" s="8" t="n">
        <v>5</v>
      </c>
      <c r="G4" s="8" t="n">
        <v>6</v>
      </c>
      <c r="H4" s="8" t="n">
        <v>7</v>
      </c>
      <c r="I4" s="8" t="n">
        <v>8</v>
      </c>
      <c r="J4" s="8" t="n">
        <v>9</v>
      </c>
      <c r="K4" s="8" t="n">
        <v>10</v>
      </c>
      <c r="L4" s="8" t="n">
        <v>11</v>
      </c>
      <c r="M4" s="8" t="n">
        <v>12</v>
      </c>
    </row>
    <row r="5">
      <c r="B5" s="9" t="inlineStr">
        <is>
          <t>Jan</t>
        </is>
      </c>
      <c r="C5" s="9" t="inlineStr">
        <is>
          <t>Feb</t>
        </is>
      </c>
      <c r="D5" s="9" t="inlineStr">
        <is>
          <t>Mär</t>
        </is>
      </c>
      <c r="E5" s="9" t="inlineStr">
        <is>
          <t>Apr</t>
        </is>
      </c>
      <c r="F5" s="9" t="inlineStr">
        <is>
          <t>Mai</t>
        </is>
      </c>
      <c r="G5" s="9" t="inlineStr">
        <is>
          <t>Jun</t>
        </is>
      </c>
      <c r="H5" s="9" t="inlineStr">
        <is>
          <t>Jul</t>
        </is>
      </c>
      <c r="I5" s="9" t="inlineStr">
        <is>
          <t>Aug</t>
        </is>
      </c>
      <c r="J5" s="9" t="inlineStr">
        <is>
          <t>Sep</t>
        </is>
      </c>
      <c r="K5" s="9" t="inlineStr">
        <is>
          <t>Okt</t>
        </is>
      </c>
      <c r="L5" s="9" t="inlineStr">
        <is>
          <t>Nov</t>
        </is>
      </c>
      <c r="M5" s="9" t="inlineStr">
        <is>
          <t>Dez</t>
        </is>
      </c>
      <c r="N5" s="9" t="inlineStr">
        <is>
          <t>Jahr</t>
        </is>
      </c>
      <c r="O5" s="9" t="inlineStr">
        <is>
          <t>Herkunft im Beispiel</t>
        </is>
      </c>
    </row>
    <row r="6">
      <c r="A6" s="9" t="inlineStr">
        <is>
          <t>Einnahmen</t>
        </is>
      </c>
    </row>
    <row r="7">
      <c r="A7" s="3" t="inlineStr">
        <is>
          <t>Honorareingänge netto</t>
        </is>
      </c>
      <c r="B7" s="5" t="n">
        <v>8500</v>
      </c>
      <c r="C7" s="5" t="n">
        <v>9000</v>
      </c>
      <c r="D7" s="5" t="n">
        <v>10500</v>
      </c>
      <c r="E7" s="5" t="n">
        <v>10000</v>
      </c>
      <c r="F7" s="5" t="n">
        <v>10500</v>
      </c>
      <c r="G7" s="5" t="n">
        <v>10500</v>
      </c>
      <c r="H7" s="5" t="n">
        <v>11000</v>
      </c>
      <c r="I7" s="5" t="n">
        <v>9000</v>
      </c>
      <c r="J7" s="5" t="n">
        <v>12000</v>
      </c>
      <c r="K7" s="5" t="n">
        <v>13000</v>
      </c>
      <c r="L7" s="5" t="n">
        <v>13000</v>
      </c>
      <c r="M7" s="5" t="n">
        <v>15000</v>
      </c>
      <c r="N7" s="10">
        <f>SUM(B7:M7)</f>
        <v>132000.0</v>
      </c>
      <c r="O7" s="2" t="inlineStr">
        <is>
          <t>Schätzung: 2026 rund 112.000 €, 2027 Ziel 132.000 €; schwach im Januar und August</t>
        </is>
      </c>
    </row>
    <row r="8">
      <c r="A8" s="3" t="inlineStr">
        <is>
          <t>sonstige Einnahmen</t>
        </is>
      </c>
      <c r="B8" s="5" t="n">
        <v>0</v>
      </c>
      <c r="C8" s="5" t="n">
        <v>0</v>
      </c>
      <c r="D8" s="5" t="n">
        <v>0</v>
      </c>
      <c r="E8" s="5" t="n">
        <v>0</v>
      </c>
      <c r="F8" s="5" t="n">
        <v>0</v>
      </c>
      <c r="G8" s="5" t="n">
        <v>0</v>
      </c>
      <c r="H8" s="5" t="n">
        <v>0</v>
      </c>
      <c r="I8" s="5" t="n">
        <v>0</v>
      </c>
      <c r="J8" s="5" t="n">
        <v>0</v>
      </c>
      <c r="K8" s="5" t="n">
        <v>0</v>
      </c>
      <c r="L8" s="5" t="n">
        <v>0</v>
      </c>
      <c r="M8" s="5" t="n">
        <v>0</v>
      </c>
      <c r="N8" s="10">
        <f>SUM(B8:M8)</f>
        <v>0.0</v>
      </c>
      <c r="O8" s="2" t="inlineStr">
        <is>
          <t>z. B. weiterberechnete Auslagen (Nr. 7000 ff. VV RVG), netto; keine durchlaufenden Posten, kein Fremdgeld</t>
        </is>
      </c>
    </row>
    <row r="9">
      <c r="A9" s="9" t="inlineStr">
        <is>
          <t>Betriebsausgaben</t>
        </is>
      </c>
    </row>
    <row r="10">
      <c r="A10" s="3" t="inlineStr">
        <is>
          <t>Personal (ReFa mit Arbeitgeberanteilen)</t>
        </is>
      </c>
      <c r="B10" s="5" t="n">
        <v>0</v>
      </c>
      <c r="C10" s="5" t="n">
        <v>0</v>
      </c>
      <c r="D10" s="5" t="n">
        <v>0</v>
      </c>
      <c r="E10" s="5" t="n">
        <v>0</v>
      </c>
      <c r="F10" s="5" t="n">
        <v>0</v>
      </c>
      <c r="G10" s="5" t="n">
        <v>0</v>
      </c>
      <c r="H10" s="5" t="n">
        <v>1960</v>
      </c>
      <c r="I10" s="5" t="n">
        <v>1960</v>
      </c>
      <c r="J10" s="5" t="n">
        <v>1960</v>
      </c>
      <c r="K10" s="5" t="n">
        <v>1960</v>
      </c>
      <c r="L10" s="5" t="n">
        <v>1960</v>
      </c>
      <c r="M10" s="5" t="n">
        <v>1960</v>
      </c>
      <c r="N10" s="10">
        <f>SUM(B10:M10)</f>
        <v>11760.0</v>
      </c>
      <c r="O10" s="2" t="inlineStr">
        <is>
          <t>ab Juli: 1.600 € brutto halbtags × 1,225 (wie Stundensatz-Kalkulation)</t>
        </is>
      </c>
    </row>
    <row r="11">
      <c r="A11" s="3" t="inlineStr">
        <is>
          <t>Raum (Untermiete Bürogemeinschaft)</t>
        </is>
      </c>
      <c r="B11" s="5" t="n">
        <v>700</v>
      </c>
      <c r="C11" s="5" t="n">
        <v>700</v>
      </c>
      <c r="D11" s="5" t="n">
        <v>700</v>
      </c>
      <c r="E11" s="5" t="n">
        <v>700</v>
      </c>
      <c r="F11" s="5" t="n">
        <v>700</v>
      </c>
      <c r="G11" s="5" t="n">
        <v>700</v>
      </c>
      <c r="H11" s="5" t="n">
        <v>850</v>
      </c>
      <c r="I11" s="5" t="n">
        <v>850</v>
      </c>
      <c r="J11" s="5" t="n">
        <v>850</v>
      </c>
      <c r="K11" s="5" t="n">
        <v>850</v>
      </c>
      <c r="L11" s="5" t="n">
        <v>850</v>
      </c>
      <c r="M11" s="5" t="n">
        <v>850</v>
      </c>
      <c r="N11" s="10">
        <f>SUM(B11:M11)</f>
        <v>9300.0</v>
      </c>
      <c r="O11" s="2" t="inlineStr">
        <is>
          <t>Schätzung; ab Juli zweiter Arbeitsplatz + 150 €</t>
        </is>
      </c>
    </row>
    <row r="12">
      <c r="A12" s="3" t="inlineStr">
        <is>
          <t>Kanzleisoftware, IT, Datensicherung</t>
        </is>
      </c>
      <c r="B12" s="5" t="n">
        <v>250</v>
      </c>
      <c r="C12" s="5" t="n">
        <v>250</v>
      </c>
      <c r="D12" s="5" t="n">
        <v>250</v>
      </c>
      <c r="E12" s="5" t="n">
        <v>250</v>
      </c>
      <c r="F12" s="5" t="n">
        <v>250</v>
      </c>
      <c r="G12" s="5" t="n">
        <v>250</v>
      </c>
      <c r="H12" s="5" t="n">
        <v>310</v>
      </c>
      <c r="I12" s="5" t="n">
        <v>310</v>
      </c>
      <c r="J12" s="5" t="n">
        <v>310</v>
      </c>
      <c r="K12" s="5" t="n">
        <v>310</v>
      </c>
      <c r="L12" s="5" t="n">
        <v>310</v>
      </c>
      <c r="M12" s="5" t="n">
        <v>310</v>
      </c>
      <c r="N12" s="10">
        <f>SUM(B12:M12)</f>
        <v>3360.0</v>
      </c>
      <c r="O12" s="2" t="inlineStr">
        <is>
          <t>Schätzung; ab Juli zweiter Benutzer + 60 €</t>
        </is>
      </c>
    </row>
    <row r="13">
      <c r="A13" s="3" t="inlineStr">
        <is>
          <t>Datenbank, Fachliteratur</t>
        </is>
      </c>
      <c r="B13" s="5" t="n">
        <v>125</v>
      </c>
      <c r="C13" s="5" t="n">
        <v>125</v>
      </c>
      <c r="D13" s="5" t="n">
        <v>125</v>
      </c>
      <c r="E13" s="5" t="n">
        <v>125</v>
      </c>
      <c r="F13" s="5" t="n">
        <v>125</v>
      </c>
      <c r="G13" s="5" t="n">
        <v>125</v>
      </c>
      <c r="H13" s="5" t="n">
        <v>125</v>
      </c>
      <c r="I13" s="5" t="n">
        <v>125</v>
      </c>
      <c r="J13" s="5" t="n">
        <v>125</v>
      </c>
      <c r="K13" s="5" t="n">
        <v>125</v>
      </c>
      <c r="L13" s="5" t="n">
        <v>125</v>
      </c>
      <c r="M13" s="5" t="n">
        <v>125</v>
      </c>
      <c r="N13" s="10">
        <f>SUM(B13:M13)</f>
        <v>1500.0</v>
      </c>
      <c r="O13" s="2" t="inlineStr">
        <is>
          <t>Schätzung</t>
        </is>
      </c>
    </row>
    <row r="14">
      <c r="A14" s="3" t="inlineStr">
        <is>
          <t>Berufshaftpflicht (Jahresprämie)</t>
        </is>
      </c>
      <c r="B14" s="5" t="n">
        <v>900</v>
      </c>
      <c r="C14" s="5" t="n">
        <v>0</v>
      </c>
      <c r="D14" s="5" t="n">
        <v>0</v>
      </c>
      <c r="E14" s="5" t="n">
        <v>0</v>
      </c>
      <c r="F14" s="5" t="n">
        <v>0</v>
      </c>
      <c r="G14" s="5" t="n">
        <v>0</v>
      </c>
      <c r="H14" s="5" t="n">
        <v>0</v>
      </c>
      <c r="I14" s="5" t="n">
        <v>0</v>
      </c>
      <c r="J14" s="5" t="n">
        <v>0</v>
      </c>
      <c r="K14" s="5" t="n">
        <v>0</v>
      </c>
      <c r="L14" s="5" t="n">
        <v>0</v>
      </c>
      <c r="M14" s="5" t="n">
        <v>0</v>
      </c>
      <c r="N14" s="10">
        <f>SUM(B14:M14)</f>
        <v>900.0</v>
      </c>
      <c r="O14" s="2" t="inlineStr">
        <is>
          <t>Pflicht, mindestens 250.000 € je Versicherungsfall (§ 51 Abs. 4 BRAO); Gesellschaften zusätzlich § 59o BRAO; Prämie geschätzt</t>
        </is>
      </c>
    </row>
    <row r="15">
      <c r="A15" s="3" t="inlineStr">
        <is>
          <t>Kammerbeitrag, beA-Karten</t>
        </is>
      </c>
      <c r="B15" s="5" t="n">
        <v>0</v>
      </c>
      <c r="C15" s="5" t="n">
        <v>0</v>
      </c>
      <c r="D15" s="5" t="n">
        <v>336</v>
      </c>
      <c r="E15" s="5" t="n">
        <v>0</v>
      </c>
      <c r="F15" s="5" t="n">
        <v>0</v>
      </c>
      <c r="G15" s="5" t="n">
        <v>0</v>
      </c>
      <c r="H15" s="5" t="n">
        <v>80</v>
      </c>
      <c r="I15" s="5" t="n">
        <v>0</v>
      </c>
      <c r="J15" s="5" t="n">
        <v>0</v>
      </c>
      <c r="K15" s="5" t="n">
        <v>0</v>
      </c>
      <c r="L15" s="5" t="n">
        <v>0</v>
      </c>
      <c r="M15" s="5" t="n">
        <v>0</v>
      </c>
      <c r="N15" s="10">
        <f>SUM(B15:M15)</f>
        <v>416.0</v>
      </c>
      <c r="O15" s="2" t="inlineStr">
        <is>
          <t>RAK Köln 2026: 336 €, fällig 1. März (Beitragsordnung); Juli: Karte für die ReFa (geschätzt)</t>
        </is>
      </c>
    </row>
    <row r="16">
      <c r="A16" s="3" t="inlineStr">
        <is>
          <t>Fortbildung</t>
        </is>
      </c>
      <c r="B16" s="5" t="n">
        <v>0</v>
      </c>
      <c r="C16" s="5" t="n">
        <v>0</v>
      </c>
      <c r="D16" s="5" t="n">
        <v>0</v>
      </c>
      <c r="E16" s="5" t="n">
        <v>0</v>
      </c>
      <c r="F16" s="5" t="n">
        <v>450</v>
      </c>
      <c r="G16" s="5" t="n">
        <v>0</v>
      </c>
      <c r="H16" s="5" t="n">
        <v>0</v>
      </c>
      <c r="I16" s="5" t="n">
        <v>0</v>
      </c>
      <c r="J16" s="5" t="n">
        <v>0</v>
      </c>
      <c r="K16" s="5" t="n">
        <v>450</v>
      </c>
      <c r="L16" s="5" t="n">
        <v>0</v>
      </c>
      <c r="M16" s="5" t="n">
        <v>0</v>
      </c>
      <c r="N16" s="10">
        <f>SUM(B16:M16)</f>
        <v>900.0</v>
      </c>
      <c r="O16" s="2" t="inlineStr">
        <is>
          <t>Fachanwalt: 15 Zeitstunden je Jahr und Fachgebiet (§ 15 Abs. 3 FAO); Kosten geschätzt</t>
        </is>
      </c>
    </row>
    <row r="17">
      <c r="A17" s="3" t="inlineStr">
        <is>
          <t>Steuerberatung, Buchhaltung</t>
        </is>
      </c>
      <c r="B17" s="5" t="n">
        <v>200</v>
      </c>
      <c r="C17" s="5" t="n">
        <v>200</v>
      </c>
      <c r="D17" s="5" t="n">
        <v>200</v>
      </c>
      <c r="E17" s="5" t="n">
        <v>200</v>
      </c>
      <c r="F17" s="5" t="n">
        <v>200</v>
      </c>
      <c r="G17" s="5" t="n">
        <v>200</v>
      </c>
      <c r="H17" s="5" t="n">
        <v>200</v>
      </c>
      <c r="I17" s="5" t="n">
        <v>200</v>
      </c>
      <c r="J17" s="5" t="n">
        <v>200</v>
      </c>
      <c r="K17" s="5" t="n">
        <v>200</v>
      </c>
      <c r="L17" s="5" t="n">
        <v>200</v>
      </c>
      <c r="M17" s="5" t="n">
        <v>200</v>
      </c>
      <c r="N17" s="10">
        <f>SUM(B17:M17)</f>
        <v>2400.0</v>
      </c>
      <c r="O17" s="2" t="inlineStr">
        <is>
          <t>Schätzung</t>
        </is>
      </c>
    </row>
    <row r="18">
      <c r="A18" s="3" t="inlineStr">
        <is>
          <t>Telefon, Internet, Porto</t>
        </is>
      </c>
      <c r="B18" s="5" t="n">
        <v>90</v>
      </c>
      <c r="C18" s="5" t="n">
        <v>90</v>
      </c>
      <c r="D18" s="5" t="n">
        <v>90</v>
      </c>
      <c r="E18" s="5" t="n">
        <v>90</v>
      </c>
      <c r="F18" s="5" t="n">
        <v>90</v>
      </c>
      <c r="G18" s="5" t="n">
        <v>90</v>
      </c>
      <c r="H18" s="5" t="n">
        <v>90</v>
      </c>
      <c r="I18" s="5" t="n">
        <v>90</v>
      </c>
      <c r="J18" s="5" t="n">
        <v>90</v>
      </c>
      <c r="K18" s="5" t="n">
        <v>90</v>
      </c>
      <c r="L18" s="5" t="n">
        <v>90</v>
      </c>
      <c r="M18" s="5" t="n">
        <v>90</v>
      </c>
      <c r="N18" s="10">
        <f>SUM(B18:M18)</f>
        <v>1080.0</v>
      </c>
      <c r="O18" s="2" t="inlineStr">
        <is>
          <t>Schätzung</t>
        </is>
      </c>
    </row>
    <row r="19">
      <c r="A19" s="3" t="inlineStr">
        <is>
          <t>Werbung, Website</t>
        </is>
      </c>
      <c r="B19" s="5" t="n">
        <v>100</v>
      </c>
      <c r="C19" s="5" t="n">
        <v>100</v>
      </c>
      <c r="D19" s="5" t="n">
        <v>100</v>
      </c>
      <c r="E19" s="5" t="n">
        <v>100</v>
      </c>
      <c r="F19" s="5" t="n">
        <v>100</v>
      </c>
      <c r="G19" s="5" t="n">
        <v>100</v>
      </c>
      <c r="H19" s="5" t="n">
        <v>100</v>
      </c>
      <c r="I19" s="5" t="n">
        <v>100</v>
      </c>
      <c r="J19" s="5" t="n">
        <v>100</v>
      </c>
      <c r="K19" s="5" t="n">
        <v>100</v>
      </c>
      <c r="L19" s="5" t="n">
        <v>100</v>
      </c>
      <c r="M19" s="5" t="n">
        <v>100</v>
      </c>
      <c r="N19" s="10">
        <f>SUM(B19:M19)</f>
        <v>1200.0</v>
      </c>
      <c r="O19" s="2" t="inlineStr">
        <is>
          <t>Schätzung; Grenzen der Werbung: § 43b BRAO</t>
        </is>
      </c>
    </row>
    <row r="20">
      <c r="A20" s="3" t="inlineStr">
        <is>
          <t>Reisekosten, Porto, Kopien (variabel)</t>
        </is>
      </c>
      <c r="B20" s="5" t="n">
        <v>50</v>
      </c>
      <c r="C20" s="5" t="n">
        <v>50</v>
      </c>
      <c r="D20" s="5" t="n">
        <v>50</v>
      </c>
      <c r="E20" s="5" t="n">
        <v>50</v>
      </c>
      <c r="F20" s="5" t="n">
        <v>50</v>
      </c>
      <c r="G20" s="5" t="n">
        <v>50</v>
      </c>
      <c r="H20" s="5" t="n">
        <v>50</v>
      </c>
      <c r="I20" s="5" t="n">
        <v>50</v>
      </c>
      <c r="J20" s="5" t="n">
        <v>50</v>
      </c>
      <c r="K20" s="5" t="n">
        <v>50</v>
      </c>
      <c r="L20" s="5" t="n">
        <v>50</v>
      </c>
      <c r="M20" s="5" t="n">
        <v>50</v>
      </c>
      <c r="N20" s="10">
        <f>SUM(B20:M20)</f>
        <v>600.0</v>
      </c>
      <c r="O20" s="2" t="inlineStr">
        <is>
          <t>Schätzung; Gerichtskosten für Mandanten gehören nicht hierher (durchlaufende Posten)</t>
        </is>
      </c>
    </row>
    <row r="21">
      <c r="A21" s="3" t="inlineStr">
        <is>
          <t>Versicherungen der Kanzlei (Inhalt, Cyber)</t>
        </is>
      </c>
      <c r="B21" s="5" t="n">
        <v>400</v>
      </c>
      <c r="C21" s="5" t="n">
        <v>0</v>
      </c>
      <c r="D21" s="5" t="n">
        <v>0</v>
      </c>
      <c r="E21" s="5" t="n">
        <v>0</v>
      </c>
      <c r="F21" s="5" t="n">
        <v>0</v>
      </c>
      <c r="G21" s="5" t="n">
        <v>0</v>
      </c>
      <c r="H21" s="5" t="n">
        <v>0</v>
      </c>
      <c r="I21" s="5" t="n">
        <v>0</v>
      </c>
      <c r="J21" s="5" t="n">
        <v>0</v>
      </c>
      <c r="K21" s="5" t="n">
        <v>0</v>
      </c>
      <c r="L21" s="5" t="n">
        <v>0</v>
      </c>
      <c r="M21" s="5" t="n">
        <v>0</v>
      </c>
      <c r="N21" s="10">
        <f>SUM(B21:M21)</f>
        <v>400.0</v>
      </c>
      <c r="O21" s="2" t="inlineStr">
        <is>
          <t>Schätzung</t>
        </is>
      </c>
    </row>
    <row r="22">
      <c r="A22" s="3" t="inlineStr">
        <is>
          <t>Zinsen auf Kredite</t>
        </is>
      </c>
      <c r="B22" s="5" t="n">
        <v>0</v>
      </c>
      <c r="C22" s="5" t="n">
        <v>0</v>
      </c>
      <c r="D22" s="5" t="n">
        <v>0</v>
      </c>
      <c r="E22" s="5" t="n">
        <v>0</v>
      </c>
      <c r="F22" s="5" t="n">
        <v>0</v>
      </c>
      <c r="G22" s="5" t="n">
        <v>0</v>
      </c>
      <c r="H22" s="5" t="n">
        <v>0</v>
      </c>
      <c r="I22" s="5" t="n">
        <v>0</v>
      </c>
      <c r="J22" s="5" t="n">
        <v>0</v>
      </c>
      <c r="K22" s="5" t="n">
        <v>0</v>
      </c>
      <c r="L22" s="5" t="n">
        <v>0</v>
      </c>
      <c r="M22" s="5" t="n">
        <v>0</v>
      </c>
      <c r="N22" s="10">
        <f>SUM(B22:M22)</f>
        <v>0.0</v>
      </c>
      <c r="O22" s="2" t="inlineStr">
        <is>
          <t>nur die Zinsen; die Tilgung ist keine Betriebsausgabe</t>
        </is>
      </c>
    </row>
    <row r="23">
      <c r="A23" s="3" t="inlineStr">
        <is>
          <t>sonstige Kosten</t>
        </is>
      </c>
      <c r="B23" s="5" t="n">
        <v>0</v>
      </c>
      <c r="C23" s="5" t="n">
        <v>0</v>
      </c>
      <c r="D23" s="5" t="n">
        <v>0</v>
      </c>
      <c r="E23" s="5" t="n">
        <v>0</v>
      </c>
      <c r="F23" s="5" t="n">
        <v>0</v>
      </c>
      <c r="G23" s="5" t="n">
        <v>0</v>
      </c>
      <c r="H23" s="5" t="n">
        <v>0</v>
      </c>
      <c r="I23" s="5" t="n">
        <v>0</v>
      </c>
      <c r="J23" s="5" t="n">
        <v>0</v>
      </c>
      <c r="K23" s="5" t="n">
        <v>0</v>
      </c>
      <c r="L23" s="5" t="n">
        <v>0</v>
      </c>
      <c r="M23" s="5" t="n">
        <v>0</v>
      </c>
      <c r="N23" s="10">
        <f>SUM(B23:M23)</f>
        <v>0.0</v>
      </c>
      <c r="O23" s="2" t="inlineStr"/>
    </row>
    <row r="24">
      <c r="A24" s="3" t="inlineStr">
        <is>
          <t>Investitionen: Auszahlung (aus Blatt „Investitionen“)</t>
        </is>
      </c>
      <c r="B24" s="11">
        <f>SUMIF(Investitionen!$B$6:$B$17,B$4,Investitionen!$C$6:$C$17)</f>
        <v>0.0</v>
      </c>
      <c r="C24" s="11">
        <f>SUMIF(Investitionen!$B$6:$B$17,C$4,Investitionen!$C$6:$C$17)</f>
        <v>0.0</v>
      </c>
      <c r="D24" s="11">
        <f>SUMIF(Investitionen!$B$6:$B$17,D$4,Investitionen!$C$6:$C$17)</f>
        <v>0.0</v>
      </c>
      <c r="E24" s="11">
        <f>SUMIF(Investitionen!$B$6:$B$17,E$4,Investitionen!$C$6:$C$17)</f>
        <v>0.0</v>
      </c>
      <c r="F24" s="11">
        <f>SUMIF(Investitionen!$B$6:$B$17,F$4,Investitionen!$C$6:$C$17)</f>
        <v>0.0</v>
      </c>
      <c r="G24" s="11">
        <f>SUMIF(Investitionen!$B$6:$B$17,G$4,Investitionen!$C$6:$C$17)</f>
        <v>2100.0</v>
      </c>
      <c r="H24" s="11">
        <f>SUMIF(Investitionen!$B$6:$B$17,H$4,Investitionen!$C$6:$C$17)</f>
        <v>0.0</v>
      </c>
      <c r="I24" s="11">
        <f>SUMIF(Investitionen!$B$6:$B$17,I$4,Investitionen!$C$6:$C$17)</f>
        <v>0.0</v>
      </c>
      <c r="J24" s="11">
        <f>SUMIF(Investitionen!$B$6:$B$17,J$4,Investitionen!$C$6:$C$17)</f>
        <v>0.0</v>
      </c>
      <c r="K24" s="11">
        <f>SUMIF(Investitionen!$B$6:$B$17,K$4,Investitionen!$C$6:$C$17)</f>
        <v>0.0</v>
      </c>
      <c r="L24" s="11">
        <f>SUMIF(Investitionen!$B$6:$B$17,L$4,Investitionen!$C$6:$C$17)</f>
        <v>0.0</v>
      </c>
      <c r="M24" s="11">
        <f>SUMIF(Investitionen!$B$6:$B$17,M$4,Investitionen!$C$6:$C$17)</f>
        <v>0.0</v>
      </c>
      <c r="N24" s="10">
        <f>SUM(B24:M24)</f>
        <v>2100.0</v>
      </c>
      <c r="O24" s="2" t="inlineStr">
        <is>
          <t>Auszahlung im Monat des Kaufs; Gewinn mindert nur die Abschreibung (Zeile 26)</t>
        </is>
      </c>
    </row>
    <row r="25">
      <c r="A25" s="3" t="inlineStr">
        <is>
          <t>Puffer auf die laufenden Kosten (Zeilen 10–23)</t>
        </is>
      </c>
      <c r="B25" s="11">
        <f>ROUND(SUM(B10:B23)*Annahmen!$B$8,0)</f>
        <v>141.0</v>
      </c>
      <c r="C25" s="11">
        <f>ROUND(SUM(C10:C23)*Annahmen!$B$8,0)</f>
        <v>76.0</v>
      </c>
      <c r="D25" s="11">
        <f>ROUND(SUM(D10:D23)*Annahmen!$B$8,0)</f>
        <v>93.0</v>
      </c>
      <c r="E25" s="11">
        <f>ROUND(SUM(E10:E23)*Annahmen!$B$8,0)</f>
        <v>76.0</v>
      </c>
      <c r="F25" s="11">
        <f>ROUND(SUM(F10:F23)*Annahmen!$B$8,0)</f>
        <v>98.0</v>
      </c>
      <c r="G25" s="11">
        <f>ROUND(SUM(G10:G23)*Annahmen!$B$8,0)</f>
        <v>76.0</v>
      </c>
      <c r="H25" s="11">
        <f>ROUND(SUM(H10:H23)*Annahmen!$B$8,0)</f>
        <v>188.0</v>
      </c>
      <c r="I25" s="11">
        <f>ROUND(SUM(I10:I23)*Annahmen!$B$8,0)</f>
        <v>184.0</v>
      </c>
      <c r="J25" s="11">
        <f>ROUND(SUM(J10:J23)*Annahmen!$B$8,0)</f>
        <v>184.0</v>
      </c>
      <c r="K25" s="11">
        <f>ROUND(SUM(K10:K23)*Annahmen!$B$8,0)</f>
        <v>207.0</v>
      </c>
      <c r="L25" s="11">
        <f>ROUND(SUM(L10:L23)*Annahmen!$B$8,0)</f>
        <v>184.0</v>
      </c>
      <c r="M25" s="11">
        <f>ROUND(SUM(M10:M23)*Annahmen!$B$8,0)</f>
        <v>184.0</v>
      </c>
      <c r="N25" s="10">
        <f>SUM(B25:M25)</f>
        <v>1691.0</v>
      </c>
      <c r="O25" s="2" t="inlineStr">
        <is>
          <t>Puffer wird wie eine Ausgabe geplant; was übrig bleibt, ist Reserve</t>
        </is>
      </c>
    </row>
    <row r="26">
      <c r="A26" s="3" t="inlineStr">
        <is>
          <t>Abschreibungen (aus Blatt „Investitionen“)</t>
        </is>
      </c>
      <c r="B26" s="11">
        <f>SUMIF(Investitionen!$B$6:$B$17,B$4,Investitionen!$F$6:$F$17)</f>
        <v>0.0</v>
      </c>
      <c r="C26" s="11">
        <f>SUMIF(Investitionen!$B$6:$B$17,C$4,Investitionen!$F$6:$F$17)</f>
        <v>0.0</v>
      </c>
      <c r="D26" s="11">
        <f>SUMIF(Investitionen!$B$6:$B$17,D$4,Investitionen!$F$6:$F$17)</f>
        <v>0.0</v>
      </c>
      <c r="E26" s="11">
        <f>SUMIF(Investitionen!$B$6:$B$17,E$4,Investitionen!$F$6:$F$17)</f>
        <v>0.0</v>
      </c>
      <c r="F26" s="11">
        <f>SUMIF(Investitionen!$B$6:$B$17,F$4,Investitionen!$F$6:$F$17)</f>
        <v>0.0</v>
      </c>
      <c r="G26" s="11">
        <f>SUMIF(Investitionen!$B$6:$B$17,G$4,Investitionen!$F$6:$F$17)</f>
        <v>2100.0</v>
      </c>
      <c r="H26" s="11">
        <f>SUMIF(Investitionen!$B$6:$B$17,H$4,Investitionen!$F$6:$F$17)</f>
        <v>0.0</v>
      </c>
      <c r="I26" s="11">
        <f>SUMIF(Investitionen!$B$6:$B$17,I$4,Investitionen!$F$6:$F$17)</f>
        <v>0.0</v>
      </c>
      <c r="J26" s="11">
        <f>SUMIF(Investitionen!$B$6:$B$17,J$4,Investitionen!$F$6:$F$17)</f>
        <v>0.0</v>
      </c>
      <c r="K26" s="11">
        <f>SUMIF(Investitionen!$B$6:$B$17,K$4,Investitionen!$F$6:$F$17)</f>
        <v>0.0</v>
      </c>
      <c r="L26" s="11">
        <f>SUMIF(Investitionen!$B$6:$B$17,L$4,Investitionen!$F$6:$F$17)</f>
        <v>0.0</v>
      </c>
      <c r="M26" s="11">
        <f>SUMIF(Investitionen!$B$6:$B$17,M$4,Investitionen!$F$6:$F$17)+Investitionen!$G$18</f>
        <v>0.0</v>
      </c>
      <c r="N26" s="10">
        <f>SUM(B26:M26)</f>
        <v>2100.0</v>
      </c>
    </row>
    <row r="27">
      <c r="A27" s="9" t="inlineStr">
        <is>
          <t>= Betriebsausgaben (für den Gewinn)</t>
        </is>
      </c>
      <c r="B27" s="10">
        <f>SUM(B10:B23)+B25+B26</f>
        <v>2956.0</v>
      </c>
      <c r="C27" s="10">
        <f>SUM(C10:C23)+C25+C26</f>
        <v>1591.0</v>
      </c>
      <c r="D27" s="10">
        <f>SUM(D10:D23)+D25+D26</f>
        <v>1944.0</v>
      </c>
      <c r="E27" s="10">
        <f>SUM(E10:E23)+E25+E26</f>
        <v>1591.0</v>
      </c>
      <c r="F27" s="10">
        <f>SUM(F10:F23)+F25+F26</f>
        <v>2063.0</v>
      </c>
      <c r="G27" s="10">
        <f>SUM(G10:G23)+G25+G26</f>
        <v>3691.0</v>
      </c>
      <c r="H27" s="10">
        <f>SUM(H10:H23)+H25+H26</f>
        <v>3953.0</v>
      </c>
      <c r="I27" s="10">
        <f>SUM(I10:I23)+I25+I26</f>
        <v>3869.0</v>
      </c>
      <c r="J27" s="10">
        <f>SUM(J10:J23)+J25+J26</f>
        <v>3869.0</v>
      </c>
      <c r="K27" s="10">
        <f>SUM(K10:K23)+K25+K26</f>
        <v>4342.0</v>
      </c>
      <c r="L27" s="10">
        <f>SUM(L10:L23)+L25+L26</f>
        <v>3869.0</v>
      </c>
      <c r="M27" s="10">
        <f>SUM(M10:M23)+M25+M26</f>
        <v>3869.0</v>
      </c>
      <c r="N27" s="10">
        <f>SUM(B27:M27)</f>
        <v>37607.0</v>
      </c>
    </row>
    <row r="28">
      <c r="A28" s="9" t="inlineStr">
        <is>
          <t>= Gewinn vor Steuern (Einnahmen − Betriebsausgaben)</t>
        </is>
      </c>
      <c r="B28" s="10">
        <f>B7+B8-B27</f>
        <v>5544.0</v>
      </c>
      <c r="C28" s="10">
        <f>C7+C8-C27</f>
        <v>7409.0</v>
      </c>
      <c r="D28" s="10">
        <f>D7+D8-D27</f>
        <v>8556.0</v>
      </c>
      <c r="E28" s="10">
        <f>E7+E8-E27</f>
        <v>8409.0</v>
      </c>
      <c r="F28" s="10">
        <f>F7+F8-F27</f>
        <v>8437.0</v>
      </c>
      <c r="G28" s="10">
        <f>G7+G8-G27</f>
        <v>6809.0</v>
      </c>
      <c r="H28" s="10">
        <f>H7+H8-H27</f>
        <v>7047.0</v>
      </c>
      <c r="I28" s="10">
        <f>I7+I8-I27</f>
        <v>5131.0</v>
      </c>
      <c r="J28" s="10">
        <f>J7+J8-J27</f>
        <v>8131.0</v>
      </c>
      <c r="K28" s="10">
        <f>K7+K8-K27</f>
        <v>8658.0</v>
      </c>
      <c r="L28" s="10">
        <f>L7+L8-L27</f>
        <v>9131.0</v>
      </c>
      <c r="M28" s="10">
        <f>M7+M8-M27</f>
        <v>11131.0</v>
      </c>
      <c r="N28" s="10">
        <f>SUM(B28:M28)</f>
        <v>94393.0</v>
      </c>
    </row>
    <row r="30">
      <c r="A30" s="9" t="inlineStr">
        <is>
          <t>Aus dem Gewinn bezahlt (Einzelkanzlei)</t>
        </is>
      </c>
    </row>
    <row r="31">
      <c r="A31" s="3" t="inlineStr">
        <is>
          <t>Versorgungswerk</t>
        </is>
      </c>
      <c r="B31" s="11">
        <f>Annahmen!$B$10</f>
        <v>1330.0</v>
      </c>
      <c r="C31" s="11">
        <f>Annahmen!$B$10</f>
        <v>1330.0</v>
      </c>
      <c r="D31" s="11">
        <f>Annahmen!$B$10</f>
        <v>1330.0</v>
      </c>
      <c r="E31" s="11">
        <f>Annahmen!$B$10</f>
        <v>1330.0</v>
      </c>
      <c r="F31" s="11">
        <f>Annahmen!$B$10</f>
        <v>1330.0</v>
      </c>
      <c r="G31" s="11">
        <f>Annahmen!$B$10</f>
        <v>1330.0</v>
      </c>
      <c r="H31" s="11">
        <f>Annahmen!$B$10</f>
        <v>1330.0</v>
      </c>
      <c r="I31" s="11">
        <f>Annahmen!$B$10</f>
        <v>1330.0</v>
      </c>
      <c r="J31" s="11">
        <f>Annahmen!$B$10</f>
        <v>1330.0</v>
      </c>
      <c r="K31" s="11">
        <f>Annahmen!$B$10</f>
        <v>1330.0</v>
      </c>
      <c r="L31" s="11">
        <f>Annahmen!$B$10</f>
        <v>1330.0</v>
      </c>
      <c r="M31" s="11">
        <f>Annahmen!$B$10</f>
        <v>1330.0</v>
      </c>
      <c r="N31" s="10">
        <f>SUM(B31:M31)</f>
        <v>15960.0</v>
      </c>
    </row>
    <row r="32">
      <c r="A32" s="3" t="inlineStr">
        <is>
          <t>Kranken- und Pflegeversicherung (laufend)</t>
        </is>
      </c>
      <c r="B32" s="11">
        <f>Steuern!B41</f>
        <v>844.0</v>
      </c>
      <c r="C32" s="11">
        <f>Steuern!C41</f>
        <v>844.0</v>
      </c>
      <c r="D32" s="11">
        <f>Steuern!D41</f>
        <v>844.0</v>
      </c>
      <c r="E32" s="11">
        <f>Steuern!E41</f>
        <v>844.0</v>
      </c>
      <c r="F32" s="11">
        <f>Steuern!F41</f>
        <v>844.0</v>
      </c>
      <c r="G32" s="11">
        <f>Steuern!G41</f>
        <v>844.0</v>
      </c>
      <c r="H32" s="11">
        <f>Steuern!H41</f>
        <v>844.0</v>
      </c>
      <c r="I32" s="11">
        <f>Steuern!I41</f>
        <v>1345.0</v>
      </c>
      <c r="J32" s="11">
        <f>Steuern!J41</f>
        <v>1345.0</v>
      </c>
      <c r="K32" s="11">
        <f>Steuern!K41</f>
        <v>1345.0</v>
      </c>
      <c r="L32" s="11">
        <f>Steuern!L41</f>
        <v>1345.0</v>
      </c>
      <c r="M32" s="11">
        <f>Steuern!M41</f>
        <v>1345.0</v>
      </c>
      <c r="N32" s="10">
        <f>SUM(B32:M32)</f>
        <v>12633.0</v>
      </c>
      <c r="O32" s="2" t="inlineStr">
        <is>
          <t>aus Blatt „Steuern“ (vorläufige Beiträge, ab dem Monat nach dem Steuerbescheid neu)</t>
        </is>
      </c>
    </row>
    <row r="33">
      <c r="A33" s="3" t="inlineStr">
        <is>
          <t>Entnahme Lebensunterhalt</t>
        </is>
      </c>
      <c r="B33" s="11">
        <f>Annahmen!$B$9</f>
        <v>2900.0</v>
      </c>
      <c r="C33" s="11">
        <f>Annahmen!$B$9</f>
        <v>2900.0</v>
      </c>
      <c r="D33" s="11">
        <f>Annahmen!$B$9</f>
        <v>2900.0</v>
      </c>
      <c r="E33" s="11">
        <f>Annahmen!$B$9</f>
        <v>2900.0</v>
      </c>
      <c r="F33" s="11">
        <f>Annahmen!$B$9</f>
        <v>2900.0</v>
      </c>
      <c r="G33" s="11">
        <f>Annahmen!$B$9</f>
        <v>2900.0</v>
      </c>
      <c r="H33" s="11">
        <f>Annahmen!$B$9</f>
        <v>2900.0</v>
      </c>
      <c r="I33" s="11">
        <f>Annahmen!$B$9</f>
        <v>2900.0</v>
      </c>
      <c r="J33" s="11">
        <f>Annahmen!$B$9</f>
        <v>2900.0</v>
      </c>
      <c r="K33" s="11">
        <f>Annahmen!$B$9</f>
        <v>2900.0</v>
      </c>
      <c r="L33" s="11">
        <f>Annahmen!$B$9</f>
        <v>2900.0</v>
      </c>
      <c r="M33" s="11">
        <f>Annahmen!$B$9</f>
        <v>2900.0</v>
      </c>
      <c r="N33" s="10">
        <f>SUM(B33:M33)</f>
        <v>34800.0</v>
      </c>
    </row>
    <row r="34">
      <c r="A34" s="3" t="inlineStr">
        <is>
          <t>Überweisung auf das Steuerkonto (Rücklagesatz × Eingänge)</t>
        </is>
      </c>
      <c r="B34" s="11">
        <f>ROUND((B7+B8)*Annahmen!$B$11,0)</f>
        <v>2295.0</v>
      </c>
      <c r="C34" s="11">
        <f>ROUND((C7+C8)*Annahmen!$B$11,0)</f>
        <v>2430.0</v>
      </c>
      <c r="D34" s="11">
        <f>ROUND((D7+D8)*Annahmen!$B$11,0)</f>
        <v>2835.0</v>
      </c>
      <c r="E34" s="11">
        <f>ROUND((E7+E8)*Annahmen!$B$11,0)</f>
        <v>2700.0</v>
      </c>
      <c r="F34" s="11">
        <f>ROUND((F7+F8)*Annahmen!$B$11,0)</f>
        <v>2835.0</v>
      </c>
      <c r="G34" s="11">
        <f>ROUND((G7+G8)*Annahmen!$B$11,0)</f>
        <v>2835.0</v>
      </c>
      <c r="H34" s="11">
        <f>ROUND((H7+H8)*Annahmen!$B$11,0)</f>
        <v>2970.0</v>
      </c>
      <c r="I34" s="11">
        <f>ROUND((I7+I8)*Annahmen!$B$11,0)</f>
        <v>2430.0</v>
      </c>
      <c r="J34" s="11">
        <f>ROUND((J7+J8)*Annahmen!$B$11,0)</f>
        <v>3240.0</v>
      </c>
      <c r="K34" s="11">
        <f>ROUND((K7+K8)*Annahmen!$B$11,0)</f>
        <v>3510.0</v>
      </c>
      <c r="L34" s="11">
        <f>ROUND((L7+L8)*Annahmen!$B$11,0)</f>
        <v>3510.0</v>
      </c>
      <c r="M34" s="11">
        <f>ROUND((M7+M8)*Annahmen!$B$11,0)</f>
        <v>4050.0</v>
      </c>
      <c r="N34" s="10">
        <f>SUM(B34:M34)</f>
        <v>35640.0</v>
      </c>
      <c r="O34" s="2" t="inlineStr">
        <is>
          <t>Einkommensteuer und Nachforderungen zahlen Sie vom Steuerkonto (Zeile 43)</t>
        </is>
      </c>
    </row>
    <row r="35">
      <c r="A35" s="3" t="inlineStr">
        <is>
          <t>Tilgung von Krediten</t>
        </is>
      </c>
      <c r="B35" s="5" t="n">
        <v>0</v>
      </c>
      <c r="C35" s="5" t="n">
        <v>0</v>
      </c>
      <c r="D35" s="5" t="n">
        <v>0</v>
      </c>
      <c r="E35" s="5" t="n">
        <v>0</v>
      </c>
      <c r="F35" s="5" t="n">
        <v>0</v>
      </c>
      <c r="G35" s="5" t="n">
        <v>0</v>
      </c>
      <c r="H35" s="5" t="n">
        <v>0</v>
      </c>
      <c r="I35" s="5" t="n">
        <v>0</v>
      </c>
      <c r="J35" s="5" t="n">
        <v>0</v>
      </c>
      <c r="K35" s="5" t="n">
        <v>0</v>
      </c>
      <c r="L35" s="5" t="n">
        <v>0</v>
      </c>
      <c r="M35" s="5" t="n">
        <v>0</v>
      </c>
      <c r="N35" s="10">
        <f>SUM(B35:M35)</f>
        <v>0.0</v>
      </c>
      <c r="O35" s="2" t="inlineStr">
        <is>
          <t>Eingabe: Tilgungsanteil der Raten laut Tilgungsplan; keine Betriebsausgabe, die Zinsen stehen in Zeile 22</t>
        </is>
      </c>
    </row>
    <row r="36">
      <c r="A36" s="9" t="inlineStr">
        <is>
          <t>Kanzleikonto</t>
        </is>
      </c>
    </row>
    <row r="37">
      <c r="A37" s="3" t="inlineStr">
        <is>
          <t>Kontostand Monatsanfang</t>
        </is>
      </c>
      <c r="B37" s="11">
        <f>Annahmen!B5</f>
        <v>18000.0</v>
      </c>
      <c r="C37" s="11">
        <f>B40</f>
        <v>16175.0</v>
      </c>
      <c r="D37" s="11">
        <f>C40</f>
        <v>16080.0</v>
      </c>
      <c r="E37" s="11">
        <f>D40</f>
        <v>16727.0</v>
      </c>
      <c r="F37" s="11">
        <f>E40</f>
        <v>17362.0</v>
      </c>
      <c r="G37" s="11">
        <f>F40</f>
        <v>17890.0</v>
      </c>
      <c r="H37" s="11">
        <f>G40</f>
        <v>16790.0</v>
      </c>
      <c r="I37" s="11">
        <f>H40</f>
        <v>15793.0</v>
      </c>
      <c r="J37" s="11">
        <f>I40</f>
        <v>12919.0</v>
      </c>
      <c r="K37" s="11">
        <f>J40</f>
        <v>12235.0</v>
      </c>
      <c r="L37" s="11">
        <f>K40</f>
        <v>11808.0</v>
      </c>
      <c r="M37" s="11">
        <f>L40</f>
        <v>11854.0</v>
      </c>
    </row>
    <row r="38">
      <c r="A38" s="3" t="inlineStr">
        <is>
          <t>+ Einnahmen − Kosten − Investitionen − Puffer</t>
        </is>
      </c>
      <c r="B38" s="11">
        <f>B7+B8-SUM(B10:B25)</f>
        <v>5544.0</v>
      </c>
      <c r="C38" s="11">
        <f>C7+C8-SUM(C10:C25)</f>
        <v>7409.0</v>
      </c>
      <c r="D38" s="11">
        <f>D7+D8-SUM(D10:D25)</f>
        <v>8556.0</v>
      </c>
      <c r="E38" s="11">
        <f>E7+E8-SUM(E10:E25)</f>
        <v>8409.0</v>
      </c>
      <c r="F38" s="11">
        <f>F7+F8-SUM(F10:F25)</f>
        <v>8437.0</v>
      </c>
      <c r="G38" s="11">
        <f>G7+G8-SUM(G10:G25)</f>
        <v>6809.0</v>
      </c>
      <c r="H38" s="11">
        <f>H7+H8-SUM(H10:H25)</f>
        <v>7047.0</v>
      </c>
      <c r="I38" s="11">
        <f>I7+I8-SUM(I10:I25)</f>
        <v>5131.0</v>
      </c>
      <c r="J38" s="11">
        <f>J7+J8-SUM(J10:J25)</f>
        <v>8131.0</v>
      </c>
      <c r="K38" s="11">
        <f>K7+K8-SUM(K10:K25)</f>
        <v>8658.0</v>
      </c>
      <c r="L38" s="11">
        <f>L7+L8-SUM(L10:L25)</f>
        <v>9131.0</v>
      </c>
      <c r="M38" s="11">
        <f>M7+M8-SUM(M10:M25)</f>
        <v>11131.0</v>
      </c>
      <c r="N38" s="10">
        <f>SUM(B38:M38)</f>
        <v>94393.0</v>
      </c>
    </row>
    <row r="39">
      <c r="A39" s="3" t="inlineStr">
        <is>
          <t>− Versorgungswerk, Krankenversicherung, Entnahme, Steuerkonto, Tilgung</t>
        </is>
      </c>
      <c r="B39" s="11">
        <f>-(B31+B32+B33+B34+B35)</f>
        <v>-7369.0</v>
      </c>
      <c r="C39" s="11">
        <f>-(C31+C32+C33+C34+C35)</f>
        <v>-7504.0</v>
      </c>
      <c r="D39" s="11">
        <f>-(D31+D32+D33+D34+D35)</f>
        <v>-7909.0</v>
      </c>
      <c r="E39" s="11">
        <f>-(E31+E32+E33+E34+E35)</f>
        <v>-7774.0</v>
      </c>
      <c r="F39" s="11">
        <f>-(F31+F32+F33+F34+F35)</f>
        <v>-7909.0</v>
      </c>
      <c r="G39" s="11">
        <f>-(G31+G32+G33+G34+G35)</f>
        <v>-7909.0</v>
      </c>
      <c r="H39" s="11">
        <f>-(H31+H32+H33+H34+H35)</f>
        <v>-8044.0</v>
      </c>
      <c r="I39" s="11">
        <f>-(I31+I32+I33+I34+I35)</f>
        <v>-8005.0</v>
      </c>
      <c r="J39" s="11">
        <f>-(J31+J32+J33+J34+J35)</f>
        <v>-8815.0</v>
      </c>
      <c r="K39" s="11">
        <f>-(K31+K32+K33+K34+K35)</f>
        <v>-9085.0</v>
      </c>
      <c r="L39" s="11">
        <f>-(L31+L32+L33+L34+L35)</f>
        <v>-9085.0</v>
      </c>
      <c r="M39" s="11">
        <f>-(M31+M32+M33+M34+M35)</f>
        <v>-9625.0</v>
      </c>
      <c r="N39" s="10">
        <f>SUM(B39:M39)</f>
        <v>-99033.0</v>
      </c>
    </row>
    <row r="40">
      <c r="A40" s="9" t="inlineStr">
        <is>
          <t>= Kontostand Monatsende</t>
        </is>
      </c>
      <c r="B40" s="10">
        <f>B37+B38+B39</f>
        <v>16175.0</v>
      </c>
      <c r="C40" s="10">
        <f>C37+C38+C39</f>
        <v>16080.0</v>
      </c>
      <c r="D40" s="10">
        <f>D37+D38+D39</f>
        <v>16727.0</v>
      </c>
      <c r="E40" s="10">
        <f>E37+E38+E39</f>
        <v>17362.0</v>
      </c>
      <c r="F40" s="10">
        <f>F37+F38+F39</f>
        <v>17890.0</v>
      </c>
      <c r="G40" s="10">
        <f>G37+G38+G39</f>
        <v>16790.0</v>
      </c>
      <c r="H40" s="10">
        <f>H37+H38+H39</f>
        <v>15793.0</v>
      </c>
      <c r="I40" s="10">
        <f>I37+I38+I39</f>
        <v>12919.0</v>
      </c>
      <c r="J40" s="10">
        <f>J37+J38+J39</f>
        <v>12235.0</v>
      </c>
      <c r="K40" s="10">
        <f>K37+K38+K39</f>
        <v>11808.0</v>
      </c>
      <c r="L40" s="10">
        <f>L37+L38+L39</f>
        <v>11854.0</v>
      </c>
      <c r="M40" s="10">
        <f>M37+M38+M39</f>
        <v>13360.0</v>
      </c>
      <c r="N40" s="10">
        <f>M40</f>
        <v>13360.0</v>
      </c>
    </row>
    <row r="42">
      <c r="A42" s="9" t="inlineStr">
        <is>
          <t>Steuerkonto</t>
        </is>
      </c>
    </row>
    <row r="43">
      <c r="A43" s="9" t="inlineStr">
        <is>
          <t>Stand Monatsende (+ Überweisung − Einkommensteuer − Nachforderung Krankenkasse)</t>
        </is>
      </c>
      <c r="B43" s="10">
        <f>Annahmen!B6+B34-Steuern!B40-Steuern!B42</f>
        <v>6295.0</v>
      </c>
      <c r="C43" s="10">
        <f>B43+C34-Steuern!C40-Steuern!C42</f>
        <v>8725.0</v>
      </c>
      <c r="D43" s="10">
        <f>C43+D34-Steuern!D40-Steuern!D42</f>
        <v>10560.0</v>
      </c>
      <c r="E43" s="10">
        <f>D43+E34-Steuern!E40-Steuern!E42</f>
        <v>13260.0</v>
      </c>
      <c r="F43" s="10">
        <f>E43+F34-Steuern!F40-Steuern!F42</f>
        <v>16095.0</v>
      </c>
      <c r="G43" s="10">
        <f>F43+G34-Steuern!G40-Steuern!G42</f>
        <v>17930.0</v>
      </c>
      <c r="H43" s="10">
        <f>G43+H34-Steuern!H40-Steuern!H42</f>
        <v>20900.0</v>
      </c>
      <c r="I43" s="10">
        <f>H43+I34-Steuern!I40-Steuern!I42</f>
        <v>1113.0</v>
      </c>
      <c r="J43" s="10">
        <f>I43+J34-Steuern!J40-Steuern!J42</f>
        <v>415.0</v>
      </c>
      <c r="K43" s="10">
        <f>J43+K34-Steuern!K40-Steuern!K42</f>
        <v>3925.0</v>
      </c>
      <c r="L43" s="10">
        <f>K43+L34-Steuern!L40-Steuern!L42</f>
        <v>7435.0</v>
      </c>
      <c r="M43" s="10">
        <f>L43+M34-Steuern!M40-Steuern!M42</f>
        <v>7547.0</v>
      </c>
      <c r="N43" s="10">
        <f>M43</f>
        <v>7547.0</v>
      </c>
      <c r="O43" s="2" t="inlineStr">
        <is>
          <t>Einkommensteuer-Vorauszahlungen, Abschlusszahlung Vorjahr, Nachforderung Krankenkasse aus Blatt „Steuern“</t>
        </is>
      </c>
    </row>
    <row r="44">
      <c r="A44" s="3" t="inlineStr">
        <is>
          <t>Warnung</t>
        </is>
      </c>
      <c r="B44" s="12" t="str">
        <f>IF(B43&lt;0,"Steuerkonto leer",IF(B40&lt;Annahmen!$B$7,"unter Mindestbestand",""))</f>
        <v/>
      </c>
      <c r="C44" s="12" t="str">
        <f>IF(C43&lt;0,"Steuerkonto leer",IF(C40&lt;Annahmen!$B$7,"unter Mindestbestand",""))</f>
        <v/>
      </c>
      <c r="D44" s="12" t="str">
        <f>IF(D43&lt;0,"Steuerkonto leer",IF(D40&lt;Annahmen!$B$7,"unter Mindestbestand",""))</f>
        <v/>
      </c>
      <c r="E44" s="12" t="str">
        <f>IF(E43&lt;0,"Steuerkonto leer",IF(E40&lt;Annahmen!$B$7,"unter Mindestbestand",""))</f>
        <v/>
      </c>
      <c r="F44" s="12" t="str">
        <f>IF(F43&lt;0,"Steuerkonto leer",IF(F40&lt;Annahmen!$B$7,"unter Mindestbestand",""))</f>
        <v/>
      </c>
      <c r="G44" s="12" t="str">
        <f>IF(G43&lt;0,"Steuerkonto leer",IF(G40&lt;Annahmen!$B$7,"unter Mindestbestand",""))</f>
        <v/>
      </c>
      <c r="H44" s="12" t="str">
        <f>IF(H43&lt;0,"Steuerkonto leer",IF(H40&lt;Annahmen!$B$7,"unter Mindestbestand",""))</f>
        <v/>
      </c>
      <c r="I44" s="12" t="str">
        <f>IF(I43&lt;0,"Steuerkonto leer",IF(I40&lt;Annahmen!$B$7,"unter Mindestbestand",""))</f>
        <v/>
      </c>
      <c r="J44" s="12" t="str">
        <f>IF(J43&lt;0,"Steuerkonto leer",IF(J40&lt;Annahmen!$B$7,"unter Mindestbestand",""))</f>
        <v/>
      </c>
      <c r="K44" s="12" t="str">
        <f>IF(K43&lt;0,"Steuerkonto leer",IF(K40&lt;Annahmen!$B$7,"unter Mindestbestand",""))</f>
        <v/>
      </c>
      <c r="L44" s="12" t="str">
        <f>IF(L43&lt;0,"Steuerkonto leer",IF(L40&lt;Annahmen!$B$7,"unter Mindestbestand",""))</f>
        <v/>
      </c>
      <c r="M44" s="12" t="str">
        <f>IF(M43&lt;0,"Steuerkonto leer",IF(M40&lt;Annahmen!$B$7,"unter Mindestbestand",""))</f>
        <v/>
      </c>
    </row>
    <row r="46">
      <c r="A46" s="9" t="inlineStr">
        <is>
          <t>Kurzauswertung</t>
        </is>
      </c>
    </row>
    <row r="47">
      <c r="A47" s="3" t="inlineStr">
        <is>
          <t>Kostenquote (Betriebsausgaben ÷ Einnahmen)</t>
        </is>
      </c>
      <c r="B47" s="13">
        <f>IF(N7+N8=0,"",N27/(N7+N8))</f>
        <v>0.28490151515151513</v>
      </c>
      <c r="C47" s="2" t="inlineStr">
        <is>
          <t>Vergleich: STAR 2025, westdeutsche Einzelkanzleien mit Vollzeit-Anwälten rund 45 % (Artikel zu den Kennzahlen)</t>
        </is>
      </c>
    </row>
    <row r="48">
      <c r="A48" s="3" t="inlineStr">
        <is>
          <t>tiefster Kontostand Kanzleikonto (Monatsende)</t>
        </is>
      </c>
      <c r="B48" s="10">
        <f>MIN(B40:M40)</f>
        <v>11808.0</v>
      </c>
    </row>
    <row r="49">
      <c r="A49" s="3" t="inlineStr">
        <is>
          <t>tiefster Stand Steuerkonto (Monatsende)</t>
        </is>
      </c>
      <c r="B49" s="10">
        <f>MIN(B43:M43)</f>
        <v>415.0</v>
      </c>
    </row>
    <row r="50">
      <c r="A50" s="3" t="inlineStr">
        <is>
          <t>tragfähige Entnahme je Monat im Planjahr, nach allen Zahlungen (Blatt „Steuern“, Zeile 26)</t>
        </is>
      </c>
      <c r="B50" s="10">
        <f>Steuern!B26</f>
        <v>2809.0</v>
      </c>
      <c r="C50" s="12" t="str">
        <f>IF(B50="","",IF(Annahmen!B9&gt;B50,"Entnahme in Blatt „Annahmen“ über dem tragfähigen Betrag: Kanzlei- und Steuerkonto sinken übers Jahr",""))</f>
        <v>Entnahme in Blatt „Annahmen“ über dem tragfähigen Betrag: Kanzlei- und Steuerkonto sinken übers Jahr</v>
      </c>
    </row>
    <row r="51">
      <c r="A51" s="3" t="inlineStr">
        <is>
          <t>Reserve am Jahresende in Monatskosten (Kanzleikonto Dezember ÷ Betriebsausgaben je Monat)</t>
        </is>
      </c>
      <c r="B51" s="14">
        <f>IF(N27=0,"",M40/(N27/12))</f>
        <v>4.263036136889409</v>
      </c>
      <c r="C51" s="12" t="str">
        <f>IF(B51="","",IF(B51&gt;=Annahmen!B13,"Ziel erreicht","unter dem Ziel aus Blatt „Annahmen“, Zeile 13"))</f>
        <v>Ziel erreicht</v>
      </c>
    </row>
    <row r="52">
      <c r="A52" s="3" t="inlineStr">
        <is>
          <t>Monatskosten im Dezember (Zeilen 10–23 und Puffer, ohne Abschreibung)</t>
        </is>
      </c>
      <c r="B52" s="10">
        <f>SUM(M10:M23)+M25</f>
        <v>3869.0</v>
      </c>
      <c r="C52" s="2" t="inlineStr">
        <is>
          <t>Steigen die Kosten im Lauf des Jahres (Personal ab Juli), misst die Reserve mit diesem Wert strenger: Kanzleikonto Dezember ÷ Zeile 52.</t>
        </is>
      </c>
    </row>
  </sheetData>
  <mergeCells count="3">
    <mergeCell ref="C47:M47"/>
    <mergeCell ref="C52:M52"/>
    <mergeCell ref="A2:O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50"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2" customWidth="1" min="14" max="14"/>
  </cols>
  <sheetData>
    <row r="1">
      <c r="A1" s="1" t="inlineStr">
        <is>
          <t>Blatt 3: Ist-Zahlen (zum Monatsende aus der Buchhaltung eintragen)</t>
        </is>
      </c>
    </row>
    <row r="2" ht="44" customHeight="1">
      <c r="A2" s="2" t="inlineStr">
        <is>
          <t>Gleiche Zeilen wie im Plan. Beträge netto, wie sie im Monat eingegangen oder bezahlt sind. Quelle: Umsätze des Kanzleikontos (Kontoauszug oder Export aus dem Online-Banking) oder die monatliche Auswertung der Buchhaltung; ohne Fremdgeld, Anderkonto, Umsatzsteuer und durchlaufende Posten. Januar bis März sind Beispielwerte aus dem Artikel zum Überschreiben (im März 640 € Werbung für die neue Website).</t>
        </is>
      </c>
    </row>
    <row r="4">
      <c r="B4" s="8" t="n">
        <v>1</v>
      </c>
      <c r="C4" s="8" t="n">
        <v>2</v>
      </c>
      <c r="D4" s="8" t="n">
        <v>3</v>
      </c>
      <c r="E4" s="8" t="n">
        <v>4</v>
      </c>
      <c r="F4" s="8" t="n">
        <v>5</v>
      </c>
      <c r="G4" s="8" t="n">
        <v>6</v>
      </c>
      <c r="H4" s="8" t="n">
        <v>7</v>
      </c>
      <c r="I4" s="8" t="n">
        <v>8</v>
      </c>
      <c r="J4" s="8" t="n">
        <v>9</v>
      </c>
      <c r="K4" s="8" t="n">
        <v>10</v>
      </c>
      <c r="L4" s="8" t="n">
        <v>11</v>
      </c>
      <c r="M4" s="8" t="n">
        <v>12</v>
      </c>
    </row>
    <row r="5">
      <c r="B5" s="9" t="inlineStr">
        <is>
          <t>Jan</t>
        </is>
      </c>
      <c r="C5" s="9" t="inlineStr">
        <is>
          <t>Feb</t>
        </is>
      </c>
      <c r="D5" s="9" t="inlineStr">
        <is>
          <t>Mär</t>
        </is>
      </c>
      <c r="E5" s="9" t="inlineStr">
        <is>
          <t>Apr</t>
        </is>
      </c>
      <c r="F5" s="9" t="inlineStr">
        <is>
          <t>Mai</t>
        </is>
      </c>
      <c r="G5" s="9" t="inlineStr">
        <is>
          <t>Jun</t>
        </is>
      </c>
      <c r="H5" s="9" t="inlineStr">
        <is>
          <t>Jul</t>
        </is>
      </c>
      <c r="I5" s="9" t="inlineStr">
        <is>
          <t>Aug</t>
        </is>
      </c>
      <c r="J5" s="9" t="inlineStr">
        <is>
          <t>Sep</t>
        </is>
      </c>
      <c r="K5" s="9" t="inlineStr">
        <is>
          <t>Okt</t>
        </is>
      </c>
      <c r="L5" s="9" t="inlineStr">
        <is>
          <t>Nov</t>
        </is>
      </c>
      <c r="M5" s="9" t="inlineStr">
        <is>
          <t>Dez</t>
        </is>
      </c>
      <c r="N5" s="9" t="inlineStr">
        <is>
          <t>Jahr</t>
        </is>
      </c>
    </row>
    <row r="7">
      <c r="A7" s="3" t="inlineStr">
        <is>
          <t>Honorareingänge netto</t>
        </is>
      </c>
      <c r="B7" s="5" t="n">
        <v>7200</v>
      </c>
      <c r="C7" s="5" t="n">
        <v>8100</v>
      </c>
      <c r="D7" s="5" t="n">
        <v>9900</v>
      </c>
      <c r="E7" s="5" t="n"/>
      <c r="F7" s="5" t="n"/>
      <c r="G7" s="5" t="n"/>
      <c r="H7" s="5" t="n"/>
      <c r="I7" s="5" t="n"/>
      <c r="J7" s="5" t="n"/>
      <c r="K7" s="5" t="n"/>
      <c r="L7" s="5" t="n"/>
      <c r="M7" s="5" t="n"/>
      <c r="N7" s="10">
        <f>SUM(B7:M7)</f>
        <v>25200.0</v>
      </c>
    </row>
    <row r="8">
      <c r="A8" s="3" t="inlineStr">
        <is>
          <t>sonstige Einnahmen</t>
        </is>
      </c>
      <c r="B8" s="5" t="n">
        <v>0</v>
      </c>
      <c r="C8" s="5" t="n">
        <v>0</v>
      </c>
      <c r="D8" s="5" t="n">
        <v>0</v>
      </c>
      <c r="E8" s="5" t="n"/>
      <c r="F8" s="5" t="n"/>
      <c r="G8" s="5" t="n"/>
      <c r="H8" s="5" t="n"/>
      <c r="I8" s="5" t="n"/>
      <c r="J8" s="5" t="n"/>
      <c r="K8" s="5" t="n"/>
      <c r="L8" s="5" t="n"/>
      <c r="M8" s="5" t="n"/>
      <c r="N8" s="10">
        <f>SUM(B8:M8)</f>
        <v>0.0</v>
      </c>
    </row>
    <row r="10">
      <c r="A10" s="3" t="inlineStr">
        <is>
          <t>Personal (ReFa mit Arbeitgeberanteilen)</t>
        </is>
      </c>
      <c r="B10" s="5" t="n">
        <v>0</v>
      </c>
      <c r="C10" s="5" t="n">
        <v>0</v>
      </c>
      <c r="D10" s="5" t="n">
        <v>0</v>
      </c>
      <c r="E10" s="5" t="n"/>
      <c r="F10" s="5" t="n"/>
      <c r="G10" s="5" t="n"/>
      <c r="H10" s="5" t="n"/>
      <c r="I10" s="5" t="n"/>
      <c r="J10" s="5" t="n"/>
      <c r="K10" s="5" t="n"/>
      <c r="L10" s="5" t="n"/>
      <c r="M10" s="5" t="n"/>
      <c r="N10" s="10">
        <f>SUM(B10:M10)</f>
        <v>0.0</v>
      </c>
    </row>
    <row r="11">
      <c r="A11" s="3" t="inlineStr">
        <is>
          <t>Raum (Untermiete Bürogemeinschaft)</t>
        </is>
      </c>
      <c r="B11" s="5" t="n">
        <v>700</v>
      </c>
      <c r="C11" s="5" t="n">
        <v>700</v>
      </c>
      <c r="D11" s="5" t="n">
        <v>700</v>
      </c>
      <c r="E11" s="5" t="n"/>
      <c r="F11" s="5" t="n"/>
      <c r="G11" s="5" t="n"/>
      <c r="H11" s="5" t="n"/>
      <c r="I11" s="5" t="n"/>
      <c r="J11" s="5" t="n"/>
      <c r="K11" s="5" t="n"/>
      <c r="L11" s="5" t="n"/>
      <c r="M11" s="5" t="n"/>
      <c r="N11" s="10">
        <f>SUM(B11:M11)</f>
        <v>2100.0</v>
      </c>
    </row>
    <row r="12">
      <c r="A12" s="3" t="inlineStr">
        <is>
          <t>Kanzleisoftware, IT, Datensicherung</t>
        </is>
      </c>
      <c r="B12" s="5" t="n">
        <v>250</v>
      </c>
      <c r="C12" s="5" t="n">
        <v>250</v>
      </c>
      <c r="D12" s="5" t="n">
        <v>250</v>
      </c>
      <c r="E12" s="5" t="n"/>
      <c r="F12" s="5" t="n"/>
      <c r="G12" s="5" t="n"/>
      <c r="H12" s="5" t="n"/>
      <c r="I12" s="5" t="n"/>
      <c r="J12" s="5" t="n"/>
      <c r="K12" s="5" t="n"/>
      <c r="L12" s="5" t="n"/>
      <c r="M12" s="5" t="n"/>
      <c r="N12" s="10">
        <f>SUM(B12:M12)</f>
        <v>750.0</v>
      </c>
    </row>
    <row r="13">
      <c r="A13" s="3" t="inlineStr">
        <is>
          <t>Datenbank, Fachliteratur</t>
        </is>
      </c>
      <c r="B13" s="5" t="n">
        <v>125</v>
      </c>
      <c r="C13" s="5" t="n">
        <v>125</v>
      </c>
      <c r="D13" s="5" t="n">
        <v>125</v>
      </c>
      <c r="E13" s="5" t="n"/>
      <c r="F13" s="5" t="n"/>
      <c r="G13" s="5" t="n"/>
      <c r="H13" s="5" t="n"/>
      <c r="I13" s="5" t="n"/>
      <c r="J13" s="5" t="n"/>
      <c r="K13" s="5" t="n"/>
      <c r="L13" s="5" t="n"/>
      <c r="M13" s="5" t="n"/>
      <c r="N13" s="10">
        <f>SUM(B13:M13)</f>
        <v>375.0</v>
      </c>
    </row>
    <row r="14">
      <c r="A14" s="3" t="inlineStr">
        <is>
          <t>Berufshaftpflicht (Jahresprämie)</t>
        </is>
      </c>
      <c r="B14" s="5" t="n">
        <v>960</v>
      </c>
      <c r="C14" s="5" t="n">
        <v>0</v>
      </c>
      <c r="D14" s="5" t="n">
        <v>0</v>
      </c>
      <c r="E14" s="5" t="n"/>
      <c r="F14" s="5" t="n"/>
      <c r="G14" s="5" t="n"/>
      <c r="H14" s="5" t="n"/>
      <c r="I14" s="5" t="n"/>
      <c r="J14" s="5" t="n"/>
      <c r="K14" s="5" t="n"/>
      <c r="L14" s="5" t="n"/>
      <c r="M14" s="5" t="n"/>
      <c r="N14" s="10">
        <f>SUM(B14:M14)</f>
        <v>960.0</v>
      </c>
    </row>
    <row r="15">
      <c r="A15" s="3" t="inlineStr">
        <is>
          <t>Kammerbeitrag, beA-Karten</t>
        </is>
      </c>
      <c r="B15" s="5" t="n">
        <v>0</v>
      </c>
      <c r="C15" s="5" t="n">
        <v>0</v>
      </c>
      <c r="D15" s="5" t="n">
        <v>336</v>
      </c>
      <c r="E15" s="5" t="n"/>
      <c r="F15" s="5" t="n"/>
      <c r="G15" s="5" t="n"/>
      <c r="H15" s="5" t="n"/>
      <c r="I15" s="5" t="n"/>
      <c r="J15" s="5" t="n"/>
      <c r="K15" s="5" t="n"/>
      <c r="L15" s="5" t="n"/>
      <c r="M15" s="5" t="n"/>
      <c r="N15" s="10">
        <f>SUM(B15:M15)</f>
        <v>336.0</v>
      </c>
    </row>
    <row r="16">
      <c r="A16" s="3" t="inlineStr">
        <is>
          <t>Fortbildung</t>
        </is>
      </c>
      <c r="B16" s="5" t="n">
        <v>0</v>
      </c>
      <c r="C16" s="5" t="n">
        <v>0</v>
      </c>
      <c r="D16" s="5" t="n">
        <v>0</v>
      </c>
      <c r="E16" s="5" t="n"/>
      <c r="F16" s="5" t="n"/>
      <c r="G16" s="5" t="n"/>
      <c r="H16" s="5" t="n"/>
      <c r="I16" s="5" t="n"/>
      <c r="J16" s="5" t="n"/>
      <c r="K16" s="5" t="n"/>
      <c r="L16" s="5" t="n"/>
      <c r="M16" s="5" t="n"/>
      <c r="N16" s="10">
        <f>SUM(B16:M16)</f>
        <v>0.0</v>
      </c>
    </row>
    <row r="17">
      <c r="A17" s="3" t="inlineStr">
        <is>
          <t>Steuerberatung, Buchhaltung</t>
        </is>
      </c>
      <c r="B17" s="5" t="n">
        <v>200</v>
      </c>
      <c r="C17" s="5" t="n">
        <v>200</v>
      </c>
      <c r="D17" s="5" t="n">
        <v>200</v>
      </c>
      <c r="E17" s="5" t="n"/>
      <c r="F17" s="5" t="n"/>
      <c r="G17" s="5" t="n"/>
      <c r="H17" s="5" t="n"/>
      <c r="I17" s="5" t="n"/>
      <c r="J17" s="5" t="n"/>
      <c r="K17" s="5" t="n"/>
      <c r="L17" s="5" t="n"/>
      <c r="M17" s="5" t="n"/>
      <c r="N17" s="10">
        <f>SUM(B17:M17)</f>
        <v>600.0</v>
      </c>
    </row>
    <row r="18">
      <c r="A18" s="3" t="inlineStr">
        <is>
          <t>Telefon, Internet, Porto</t>
        </is>
      </c>
      <c r="B18" s="5" t="n">
        <v>95</v>
      </c>
      <c r="C18" s="5" t="n">
        <v>88</v>
      </c>
      <c r="D18" s="5" t="n">
        <v>102</v>
      </c>
      <c r="E18" s="5" t="n"/>
      <c r="F18" s="5" t="n"/>
      <c r="G18" s="5" t="n"/>
      <c r="H18" s="5" t="n"/>
      <c r="I18" s="5" t="n"/>
      <c r="J18" s="5" t="n"/>
      <c r="K18" s="5" t="n"/>
      <c r="L18" s="5" t="n"/>
      <c r="M18" s="5" t="n"/>
      <c r="N18" s="10">
        <f>SUM(B18:M18)</f>
        <v>285.0</v>
      </c>
    </row>
    <row r="19">
      <c r="A19" s="3" t="inlineStr">
        <is>
          <t>Werbung, Website</t>
        </is>
      </c>
      <c r="B19" s="5" t="n">
        <v>100</v>
      </c>
      <c r="C19" s="5" t="n">
        <v>100</v>
      </c>
      <c r="D19" s="5" t="n">
        <v>640</v>
      </c>
      <c r="E19" s="5" t="n"/>
      <c r="F19" s="5" t="n"/>
      <c r="G19" s="5" t="n"/>
      <c r="H19" s="5" t="n"/>
      <c r="I19" s="5" t="n"/>
      <c r="J19" s="5" t="n"/>
      <c r="K19" s="5" t="n"/>
      <c r="L19" s="5" t="n"/>
      <c r="M19" s="5" t="n"/>
      <c r="N19" s="10">
        <f>SUM(B19:M19)</f>
        <v>840.0</v>
      </c>
    </row>
    <row r="20">
      <c r="A20" s="3" t="inlineStr">
        <is>
          <t>Reisekosten, Porto, Kopien (variabel)</t>
        </is>
      </c>
      <c r="B20" s="5" t="n">
        <v>0</v>
      </c>
      <c r="C20" s="5" t="n">
        <v>120</v>
      </c>
      <c r="D20" s="5" t="n">
        <v>40</v>
      </c>
      <c r="E20" s="5" t="n"/>
      <c r="F20" s="5" t="n"/>
      <c r="G20" s="5" t="n"/>
      <c r="H20" s="5" t="n"/>
      <c r="I20" s="5" t="n"/>
      <c r="J20" s="5" t="n"/>
      <c r="K20" s="5" t="n"/>
      <c r="L20" s="5" t="n"/>
      <c r="M20" s="5" t="n"/>
      <c r="N20" s="10">
        <f>SUM(B20:M20)</f>
        <v>160.0</v>
      </c>
    </row>
    <row r="21">
      <c r="A21" s="3" t="inlineStr">
        <is>
          <t>Versicherungen der Kanzlei (Inhalt, Cyber)</t>
        </is>
      </c>
      <c r="B21" s="5" t="n">
        <v>400</v>
      </c>
      <c r="C21" s="5" t="n">
        <v>0</v>
      </c>
      <c r="D21" s="5" t="n">
        <v>0</v>
      </c>
      <c r="E21" s="5" t="n"/>
      <c r="F21" s="5" t="n"/>
      <c r="G21" s="5" t="n"/>
      <c r="H21" s="5" t="n"/>
      <c r="I21" s="5" t="n"/>
      <c r="J21" s="5" t="n"/>
      <c r="K21" s="5" t="n"/>
      <c r="L21" s="5" t="n"/>
      <c r="M21" s="5" t="n"/>
      <c r="N21" s="10">
        <f>SUM(B21:M21)</f>
        <v>400.0</v>
      </c>
    </row>
    <row r="22">
      <c r="A22" s="3" t="inlineStr">
        <is>
          <t>Zinsen auf Kredite</t>
        </is>
      </c>
      <c r="B22" s="5" t="n">
        <v>0</v>
      </c>
      <c r="C22" s="5" t="n">
        <v>0</v>
      </c>
      <c r="D22" s="5" t="n">
        <v>0</v>
      </c>
      <c r="E22" s="5" t="n"/>
      <c r="F22" s="5" t="n"/>
      <c r="G22" s="5" t="n"/>
      <c r="H22" s="5" t="n"/>
      <c r="I22" s="5" t="n"/>
      <c r="J22" s="5" t="n"/>
      <c r="K22" s="5" t="n"/>
      <c r="L22" s="5" t="n"/>
      <c r="M22" s="5" t="n"/>
      <c r="N22" s="10">
        <f>SUM(B22:M22)</f>
        <v>0.0</v>
      </c>
    </row>
    <row r="23">
      <c r="A23" s="3" t="inlineStr">
        <is>
          <t>sonstige Kosten</t>
        </is>
      </c>
      <c r="B23" s="5" t="n">
        <v>0</v>
      </c>
      <c r="C23" s="5" t="n">
        <v>0</v>
      </c>
      <c r="D23" s="5" t="n">
        <v>0</v>
      </c>
      <c r="E23" s="5" t="n"/>
      <c r="F23" s="5" t="n"/>
      <c r="G23" s="5" t="n"/>
      <c r="H23" s="5" t="n"/>
      <c r="I23" s="5" t="n"/>
      <c r="J23" s="5" t="n"/>
      <c r="K23" s="5" t="n"/>
      <c r="L23" s="5" t="n"/>
      <c r="M23" s="5" t="n"/>
      <c r="N23" s="10">
        <f>SUM(B23:M23)</f>
        <v>0.0</v>
      </c>
    </row>
    <row r="24">
      <c r="A24" s="3" t="inlineStr">
        <is>
          <t>Investitionen: Auszahlung</t>
        </is>
      </c>
      <c r="B24" s="5" t="n">
        <v>0</v>
      </c>
      <c r="C24" s="5" t="n">
        <v>0</v>
      </c>
      <c r="D24" s="5" t="n">
        <v>0</v>
      </c>
      <c r="E24" s="5" t="n"/>
      <c r="F24" s="5" t="n"/>
      <c r="G24" s="5" t="n"/>
      <c r="H24" s="5" t="n"/>
      <c r="I24" s="5" t="n"/>
      <c r="J24" s="5" t="n"/>
      <c r="K24" s="5" t="n"/>
      <c r="L24" s="5" t="n"/>
      <c r="M24" s="5" t="n"/>
      <c r="N24" s="10">
        <f>SUM(B24:M24)</f>
        <v>0.0</v>
      </c>
    </row>
  </sheetData>
  <mergeCells count="1">
    <mergeCell ref="A2:N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50" customWidth="1" min="1" max="1"/>
    <col width="15" customWidth="1" min="2" max="2"/>
    <col width="15" customWidth="1" min="3" max="3"/>
    <col width="15" customWidth="1" min="4" max="4"/>
    <col width="12" customWidth="1" min="5" max="5"/>
    <col width="16" customWidth="1" min="6" max="6"/>
    <col width="18" customWidth="1" min="7" max="7"/>
  </cols>
  <sheetData>
    <row r="1">
      <c r="A1" s="1" t="inlineStr">
        <is>
          <t>Blatt 4: Plan und Ist bis zum gewählten Monat</t>
        </is>
      </c>
    </row>
    <row r="2">
      <c r="B2" s="15" t="str">
        <f>"bis einschließlich Monat "&amp;Annahmen!B12</f>
        <v>bis einschließlich Monat 3</v>
      </c>
      <c r="C2" s="2" t="inlineStr">
        <is>
          <t>Monat in Blatt „Annahmen“, Zeile 12 wählen. Hochrechnung = Ist bis Monat + Plan für die übrigen Monate.</t>
        </is>
      </c>
    </row>
    <row r="4">
      <c r="A4" s="9" t="inlineStr">
        <is>
          <t>Zeile</t>
        </is>
      </c>
      <c r="B4" s="9" t="inlineStr">
        <is>
          <t>Plan bis Monat</t>
        </is>
      </c>
      <c r="C4" s="9" t="inlineStr">
        <is>
          <t>Ist bis Monat</t>
        </is>
      </c>
      <c r="D4" s="9" t="inlineStr">
        <is>
          <t>Abweichung</t>
        </is>
      </c>
      <c r="E4" s="9" t="inlineStr">
        <is>
          <t>in %</t>
        </is>
      </c>
      <c r="F4" s="9" t="inlineStr">
        <is>
          <t>Hinweis</t>
        </is>
      </c>
      <c r="G4" s="9" t="inlineStr">
        <is>
          <t>Hochrechnung Jahr</t>
        </is>
      </c>
    </row>
    <row r="5">
      <c r="A5" s="3" t="inlineStr">
        <is>
          <t>Honorareingänge netto</t>
        </is>
      </c>
      <c r="B5" s="11">
        <f>SUMIF(Plan!$B$4:$M$4,"&lt;="&amp;Annahmen!$B$12,Plan!B7:M7)</f>
        <v>28000.0</v>
      </c>
      <c r="C5" s="11">
        <f>SUMIF(Ist!$B$4:$M$4,"&lt;="&amp;Annahmen!$B$12,Ist!B7:M7)</f>
        <v>25200.0</v>
      </c>
      <c r="D5" s="11">
        <f>C5-B5</f>
        <v>-2800.0</v>
      </c>
      <c r="E5" s="16">
        <f>IF(B5=0,"",D5/B5)</f>
        <v>-0.1</v>
      </c>
      <c r="F5" s="12" t="str">
        <f>IF(E5="","",IF(E5&lt;=-0.1,"unter Plan: Ursache klären",""))</f>
        <v>unter Plan: Ursache klären</v>
      </c>
      <c r="G5" s="11">
        <f>C5+Plan!N7-B5</f>
        <v>129200.0</v>
      </c>
    </row>
    <row r="6">
      <c r="A6" s="3" t="inlineStr">
        <is>
          <t>sonstige Einnahmen</t>
        </is>
      </c>
      <c r="B6" s="11">
        <f>SUMIF(Plan!$B$4:$M$4,"&lt;="&amp;Annahmen!$B$12,Plan!B8:M8)</f>
        <v>0.0</v>
      </c>
      <c r="C6" s="11">
        <f>SUMIF(Ist!$B$4:$M$4,"&lt;="&amp;Annahmen!$B$12,Ist!B8:M8)</f>
        <v>0.0</v>
      </c>
      <c r="D6" s="11">
        <f>C6-B6</f>
        <v>0.0</v>
      </c>
      <c r="E6" s="16" t="str">
        <f>IF(B6=0,"",D6/B6)</f>
        <v/>
      </c>
      <c r="F6" s="12" t="str">
        <f>IF(E6="","",IF(E6&lt;=-0.1,"unter Plan: Ursache klären",""))</f>
        <v/>
      </c>
      <c r="G6" s="11">
        <f>C6+Plan!N8-B6</f>
        <v>0.0</v>
      </c>
    </row>
    <row r="7">
      <c r="A7" s="3" t="inlineStr">
        <is>
          <t>Personal (ReFa mit Arbeitgeberanteilen)</t>
        </is>
      </c>
      <c r="B7" s="11">
        <f>SUMIF(Plan!$B$4:$M$4,"&lt;="&amp;Annahmen!$B$12,Plan!B10:M10)</f>
        <v>0.0</v>
      </c>
      <c r="C7" s="11">
        <f>SUMIF(Ist!$B$4:$M$4,"&lt;="&amp;Annahmen!$B$12,Ist!B10:M10)</f>
        <v>0.0</v>
      </c>
      <c r="D7" s="11">
        <f>C7-B7</f>
        <v>0.0</v>
      </c>
      <c r="E7" s="16" t="str">
        <f>IF(B7=0,"",D7/B7)</f>
        <v/>
      </c>
      <c r="F7" s="12" t="str">
        <f>IF(OR(E7="",B7&lt;500),IF(D7&gt;=500,"über Plan: prüfen",""),IF(E7&gt;=0.1,"über Plan: prüfen",""))</f>
        <v/>
      </c>
      <c r="G7" s="11">
        <f>C7+Plan!N10-B7</f>
        <v>11760.0</v>
      </c>
    </row>
    <row r="8">
      <c r="A8" s="3" t="inlineStr">
        <is>
          <t>Raum (Untermiete Bürogemeinschaft)</t>
        </is>
      </c>
      <c r="B8" s="11">
        <f>SUMIF(Plan!$B$4:$M$4,"&lt;="&amp;Annahmen!$B$12,Plan!B11:M11)</f>
        <v>2100.0</v>
      </c>
      <c r="C8" s="11">
        <f>SUMIF(Ist!$B$4:$M$4,"&lt;="&amp;Annahmen!$B$12,Ist!B11:M11)</f>
        <v>2100.0</v>
      </c>
      <c r="D8" s="11">
        <f>C8-B8</f>
        <v>0.0</v>
      </c>
      <c r="E8" s="16">
        <f>IF(B8=0,"",D8/B8)</f>
        <v>0.0</v>
      </c>
      <c r="F8" s="12" t="str">
        <f>IF(OR(E8="",B8&lt;500),IF(D8&gt;=500,"über Plan: prüfen",""),IF(E8&gt;=0.1,"über Plan: prüfen",""))</f>
        <v/>
      </c>
      <c r="G8" s="11">
        <f>C8+Plan!N11-B8</f>
        <v>9300.0</v>
      </c>
    </row>
    <row r="9">
      <c r="A9" s="3" t="inlineStr">
        <is>
          <t>Kanzleisoftware, IT, Datensicherung</t>
        </is>
      </c>
      <c r="B9" s="11">
        <f>SUMIF(Plan!$B$4:$M$4,"&lt;="&amp;Annahmen!$B$12,Plan!B12:M12)</f>
        <v>750.0</v>
      </c>
      <c r="C9" s="11">
        <f>SUMIF(Ist!$B$4:$M$4,"&lt;="&amp;Annahmen!$B$12,Ist!B12:M12)</f>
        <v>750.0</v>
      </c>
      <c r="D9" s="11">
        <f>C9-B9</f>
        <v>0.0</v>
      </c>
      <c r="E9" s="16">
        <f>IF(B9=0,"",D9/B9)</f>
        <v>0.0</v>
      </c>
      <c r="F9" s="12" t="str">
        <f>IF(OR(E9="",B9&lt;500),IF(D9&gt;=500,"über Plan: prüfen",""),IF(E9&gt;=0.1,"über Plan: prüfen",""))</f>
        <v/>
      </c>
      <c r="G9" s="11">
        <f>C9+Plan!N12-B9</f>
        <v>3360.0</v>
      </c>
    </row>
    <row r="10">
      <c r="A10" s="3" t="inlineStr">
        <is>
          <t>Datenbank, Fachliteratur</t>
        </is>
      </c>
      <c r="B10" s="11">
        <f>SUMIF(Plan!$B$4:$M$4,"&lt;="&amp;Annahmen!$B$12,Plan!B13:M13)</f>
        <v>375.0</v>
      </c>
      <c r="C10" s="11">
        <f>SUMIF(Ist!$B$4:$M$4,"&lt;="&amp;Annahmen!$B$12,Ist!B13:M13)</f>
        <v>375.0</v>
      </c>
      <c r="D10" s="11">
        <f>C10-B10</f>
        <v>0.0</v>
      </c>
      <c r="E10" s="16">
        <f>IF(B10=0,"",D10/B10)</f>
        <v>0.0</v>
      </c>
      <c r="F10" s="12" t="str">
        <f>IF(OR(E10="",B10&lt;500),IF(D10&gt;=500,"über Plan: prüfen",""),IF(E10&gt;=0.1,"über Plan: prüfen",""))</f>
        <v/>
      </c>
      <c r="G10" s="11">
        <f>C10+Plan!N13-B10</f>
        <v>1500.0</v>
      </c>
    </row>
    <row r="11">
      <c r="A11" s="3" t="inlineStr">
        <is>
          <t>Berufshaftpflicht (Jahresprämie)</t>
        </is>
      </c>
      <c r="B11" s="11">
        <f>SUMIF(Plan!$B$4:$M$4,"&lt;="&amp;Annahmen!$B$12,Plan!B14:M14)</f>
        <v>900.0</v>
      </c>
      <c r="C11" s="11">
        <f>SUMIF(Ist!$B$4:$M$4,"&lt;="&amp;Annahmen!$B$12,Ist!B14:M14)</f>
        <v>960.0</v>
      </c>
      <c r="D11" s="11">
        <f>C11-B11</f>
        <v>60.0</v>
      </c>
      <c r="E11" s="16">
        <f>IF(B11=0,"",D11/B11)</f>
        <v>0.06666666666666667</v>
      </c>
      <c r="F11" s="12" t="str">
        <f>IF(OR(E11="",B11&lt;500),IF(D11&gt;=500,"über Plan: prüfen",""),IF(E11&gt;=0.1,"über Plan: prüfen",""))</f>
        <v/>
      </c>
      <c r="G11" s="11">
        <f>C11+Plan!N14-B11</f>
        <v>960.0</v>
      </c>
    </row>
    <row r="12">
      <c r="A12" s="3" t="inlineStr">
        <is>
          <t>Kammerbeitrag, beA-Karten</t>
        </is>
      </c>
      <c r="B12" s="11">
        <f>SUMIF(Plan!$B$4:$M$4,"&lt;="&amp;Annahmen!$B$12,Plan!B15:M15)</f>
        <v>336.0</v>
      </c>
      <c r="C12" s="11">
        <f>SUMIF(Ist!$B$4:$M$4,"&lt;="&amp;Annahmen!$B$12,Ist!B15:M15)</f>
        <v>336.0</v>
      </c>
      <c r="D12" s="11">
        <f>C12-B12</f>
        <v>0.0</v>
      </c>
      <c r="E12" s="16">
        <f>IF(B12=0,"",D12/B12)</f>
        <v>0.0</v>
      </c>
      <c r="F12" s="12" t="str">
        <f>IF(OR(E12="",B12&lt;500),IF(D12&gt;=500,"über Plan: prüfen",""),IF(E12&gt;=0.1,"über Plan: prüfen",""))</f>
        <v/>
      </c>
      <c r="G12" s="11">
        <f>C12+Plan!N15-B12</f>
        <v>416.0</v>
      </c>
    </row>
    <row r="13">
      <c r="A13" s="3" t="inlineStr">
        <is>
          <t>Fortbildung</t>
        </is>
      </c>
      <c r="B13" s="11">
        <f>SUMIF(Plan!$B$4:$M$4,"&lt;="&amp;Annahmen!$B$12,Plan!B16:M16)</f>
        <v>0.0</v>
      </c>
      <c r="C13" s="11">
        <f>SUMIF(Ist!$B$4:$M$4,"&lt;="&amp;Annahmen!$B$12,Ist!B16:M16)</f>
        <v>0.0</v>
      </c>
      <c r="D13" s="11">
        <f>C13-B13</f>
        <v>0.0</v>
      </c>
      <c r="E13" s="16" t="str">
        <f>IF(B13=0,"",D13/B13)</f>
        <v/>
      </c>
      <c r="F13" s="12" t="str">
        <f>IF(OR(E13="",B13&lt;500),IF(D13&gt;=500,"über Plan: prüfen",""),IF(E13&gt;=0.1,"über Plan: prüfen",""))</f>
        <v/>
      </c>
      <c r="G13" s="11">
        <f>C13+Plan!N16-B13</f>
        <v>900.0</v>
      </c>
    </row>
    <row r="14">
      <c r="A14" s="3" t="inlineStr">
        <is>
          <t>Steuerberatung, Buchhaltung</t>
        </is>
      </c>
      <c r="B14" s="11">
        <f>SUMIF(Plan!$B$4:$M$4,"&lt;="&amp;Annahmen!$B$12,Plan!B17:M17)</f>
        <v>600.0</v>
      </c>
      <c r="C14" s="11">
        <f>SUMIF(Ist!$B$4:$M$4,"&lt;="&amp;Annahmen!$B$12,Ist!B17:M17)</f>
        <v>600.0</v>
      </c>
      <c r="D14" s="11">
        <f>C14-B14</f>
        <v>0.0</v>
      </c>
      <c r="E14" s="16">
        <f>IF(B14=0,"",D14/B14)</f>
        <v>0.0</v>
      </c>
      <c r="F14" s="12" t="str">
        <f>IF(OR(E14="",B14&lt;500),IF(D14&gt;=500,"über Plan: prüfen",""),IF(E14&gt;=0.1,"über Plan: prüfen",""))</f>
        <v/>
      </c>
      <c r="G14" s="11">
        <f>C14+Plan!N17-B14</f>
        <v>2400.0</v>
      </c>
    </row>
    <row r="15">
      <c r="A15" s="3" t="inlineStr">
        <is>
          <t>Telefon, Internet, Porto</t>
        </is>
      </c>
      <c r="B15" s="11">
        <f>SUMIF(Plan!$B$4:$M$4,"&lt;="&amp;Annahmen!$B$12,Plan!B18:M18)</f>
        <v>270.0</v>
      </c>
      <c r="C15" s="11">
        <f>SUMIF(Ist!$B$4:$M$4,"&lt;="&amp;Annahmen!$B$12,Ist!B18:M18)</f>
        <v>285.0</v>
      </c>
      <c r="D15" s="11">
        <f>C15-B15</f>
        <v>15.0</v>
      </c>
      <c r="E15" s="16">
        <f>IF(B15=0,"",D15/B15)</f>
        <v>0.05555555555555555</v>
      </c>
      <c r="F15" s="12" t="str">
        <f>IF(OR(E15="",B15&lt;500),IF(D15&gt;=500,"über Plan: prüfen",""),IF(E15&gt;=0.1,"über Plan: prüfen",""))</f>
        <v/>
      </c>
      <c r="G15" s="11">
        <f>C15+Plan!N18-B15</f>
        <v>1095.0</v>
      </c>
    </row>
    <row r="16">
      <c r="A16" s="3" t="inlineStr">
        <is>
          <t>Werbung, Website</t>
        </is>
      </c>
      <c r="B16" s="11">
        <f>SUMIF(Plan!$B$4:$M$4,"&lt;="&amp;Annahmen!$B$12,Plan!B19:M19)</f>
        <v>300.0</v>
      </c>
      <c r="C16" s="11">
        <f>SUMIF(Ist!$B$4:$M$4,"&lt;="&amp;Annahmen!$B$12,Ist!B19:M19)</f>
        <v>840.0</v>
      </c>
      <c r="D16" s="11">
        <f>C16-B16</f>
        <v>540.0</v>
      </c>
      <c r="E16" s="16">
        <f>IF(B16=0,"",D16/B16)</f>
        <v>1.8</v>
      </c>
      <c r="F16" s="12" t="str">
        <f>IF(OR(E16="",B16&lt;500),IF(D16&gt;=500,"über Plan: prüfen",""),IF(E16&gt;=0.1,"über Plan: prüfen",""))</f>
        <v>über Plan: prüfen</v>
      </c>
      <c r="G16" s="11">
        <f>C16+Plan!N19-B16</f>
        <v>1740.0</v>
      </c>
    </row>
    <row r="17">
      <c r="A17" s="3" t="inlineStr">
        <is>
          <t>Reisekosten, Porto, Kopien (variabel)</t>
        </is>
      </c>
      <c r="B17" s="11">
        <f>SUMIF(Plan!$B$4:$M$4,"&lt;="&amp;Annahmen!$B$12,Plan!B20:M20)</f>
        <v>150.0</v>
      </c>
      <c r="C17" s="11">
        <f>SUMIF(Ist!$B$4:$M$4,"&lt;="&amp;Annahmen!$B$12,Ist!B20:M20)</f>
        <v>160.0</v>
      </c>
      <c r="D17" s="11">
        <f>C17-B17</f>
        <v>10.0</v>
      </c>
      <c r="E17" s="16">
        <f>IF(B17=0,"",D17/B17)</f>
        <v>0.06666666666666667</v>
      </c>
      <c r="F17" s="12" t="str">
        <f>IF(OR(E17="",B17&lt;500),IF(D17&gt;=500,"über Plan: prüfen",""),IF(E17&gt;=0.1,"über Plan: prüfen",""))</f>
        <v/>
      </c>
      <c r="G17" s="11">
        <f>C17+Plan!N20-B17</f>
        <v>610.0</v>
      </c>
    </row>
    <row r="18">
      <c r="A18" s="3" t="inlineStr">
        <is>
          <t>Versicherungen der Kanzlei (Inhalt, Cyber)</t>
        </is>
      </c>
      <c r="B18" s="11">
        <f>SUMIF(Plan!$B$4:$M$4,"&lt;="&amp;Annahmen!$B$12,Plan!B21:M21)</f>
        <v>400.0</v>
      </c>
      <c r="C18" s="11">
        <f>SUMIF(Ist!$B$4:$M$4,"&lt;="&amp;Annahmen!$B$12,Ist!B21:M21)</f>
        <v>400.0</v>
      </c>
      <c r="D18" s="11">
        <f>C18-B18</f>
        <v>0.0</v>
      </c>
      <c r="E18" s="16">
        <f>IF(B18=0,"",D18/B18)</f>
        <v>0.0</v>
      </c>
      <c r="F18" s="12" t="str">
        <f>IF(OR(E18="",B18&lt;500),IF(D18&gt;=500,"über Plan: prüfen",""),IF(E18&gt;=0.1,"über Plan: prüfen",""))</f>
        <v/>
      </c>
      <c r="G18" s="11">
        <f>C18+Plan!N21-B18</f>
        <v>400.0</v>
      </c>
    </row>
    <row r="19">
      <c r="A19" s="3" t="inlineStr">
        <is>
          <t>Zinsen auf Kredite</t>
        </is>
      </c>
      <c r="B19" s="11">
        <f>SUMIF(Plan!$B$4:$M$4,"&lt;="&amp;Annahmen!$B$12,Plan!B22:M22)</f>
        <v>0.0</v>
      </c>
      <c r="C19" s="11">
        <f>SUMIF(Ist!$B$4:$M$4,"&lt;="&amp;Annahmen!$B$12,Ist!B22:M22)</f>
        <v>0.0</v>
      </c>
      <c r="D19" s="11">
        <f>C19-B19</f>
        <v>0.0</v>
      </c>
      <c r="E19" s="16" t="str">
        <f>IF(B19=0,"",D19/B19)</f>
        <v/>
      </c>
      <c r="F19" s="12" t="str">
        <f>IF(OR(E19="",B19&lt;500),IF(D19&gt;=500,"über Plan: prüfen",""),IF(E19&gt;=0.1,"über Plan: prüfen",""))</f>
        <v/>
      </c>
      <c r="G19" s="11">
        <f>C19+Plan!N22-B19</f>
        <v>0.0</v>
      </c>
    </row>
    <row r="20">
      <c r="A20" s="3" t="inlineStr">
        <is>
          <t>sonstige Kosten</t>
        </is>
      </c>
      <c r="B20" s="11">
        <f>SUMIF(Plan!$B$4:$M$4,"&lt;="&amp;Annahmen!$B$12,Plan!B23:M23)</f>
        <v>0.0</v>
      </c>
      <c r="C20" s="11">
        <f>SUMIF(Ist!$B$4:$M$4,"&lt;="&amp;Annahmen!$B$12,Ist!B23:M23)</f>
        <v>0.0</v>
      </c>
      <c r="D20" s="11">
        <f>C20-B20</f>
        <v>0.0</v>
      </c>
      <c r="E20" s="16" t="str">
        <f>IF(B20=0,"",D20/B20)</f>
        <v/>
      </c>
      <c r="F20" s="12" t="str">
        <f>IF(OR(E20="",B20&lt;500),IF(D20&gt;=500,"über Plan: prüfen",""),IF(E20&gt;=0.1,"über Plan: prüfen",""))</f>
        <v/>
      </c>
      <c r="G20" s="11">
        <f>C20+Plan!N23-B20</f>
        <v>0.0</v>
      </c>
    </row>
    <row r="21">
      <c r="A21" s="3" t="inlineStr">
        <is>
          <t>Investitionen: Auszahlung</t>
        </is>
      </c>
      <c r="B21" s="11">
        <f>SUMIF(Plan!$B$4:$M$4,"&lt;="&amp;Annahmen!$B$12,Plan!B24:M24)</f>
        <v>0.0</v>
      </c>
      <c r="C21" s="11">
        <f>SUMIF(Ist!$B$4:$M$4,"&lt;="&amp;Annahmen!$B$12,Ist!B24:M24)</f>
        <v>0.0</v>
      </c>
      <c r="D21" s="11">
        <f>C21-B21</f>
        <v>0.0</v>
      </c>
      <c r="E21" s="16" t="str">
        <f>IF(B21=0,"",D21/B21)</f>
        <v/>
      </c>
      <c r="F21" s="12" t="str">
        <f>IF(OR(E21="",B21&lt;500),IF(D21&gt;=500,"über Plan: prüfen",""),IF(E21&gt;=0.1,"über Plan: prüfen",""))</f>
        <v/>
      </c>
      <c r="G21" s="11">
        <f>C21+Plan!N24-B21</f>
        <v>2100.0</v>
      </c>
    </row>
    <row r="23">
      <c r="A23" s="9" t="inlineStr">
        <is>
          <t>= Einnahmen</t>
        </is>
      </c>
      <c r="B23" s="10">
        <f>SUM(B5:B6)</f>
        <v>28000.0</v>
      </c>
      <c r="C23" s="10">
        <f>SUM(C5:C6)</f>
        <v>25200.0</v>
      </c>
      <c r="D23" s="10">
        <f>SUM(D5:D6)</f>
        <v>-2800.0</v>
      </c>
      <c r="E23" s="13">
        <f>IF(B23=0,"",D23/B23)</f>
        <v>-0.1</v>
      </c>
      <c r="G23" s="10">
        <f>SUM(G5:G6)</f>
        <v>129200.0</v>
      </c>
    </row>
    <row r="24">
      <c r="A24" s="9" t="inlineStr">
        <is>
          <t>= Kosten und Investitionen (ohne Puffer)</t>
        </is>
      </c>
      <c r="B24" s="10">
        <f>SUM(B7:B21)</f>
        <v>6181.0</v>
      </c>
      <c r="C24" s="10">
        <f>SUM(C7:C21)</f>
        <v>6806.0</v>
      </c>
      <c r="D24" s="10">
        <f>SUM(D7:D21)</f>
        <v>625.0</v>
      </c>
      <c r="G24" s="10">
        <f>SUM(G7:G21)</f>
        <v>36541.0</v>
      </c>
    </row>
    <row r="25">
      <c r="A25" s="9" t="inlineStr">
        <is>
          <t>= Überschuss vor Puffer und Abschreibung</t>
        </is>
      </c>
      <c r="B25" s="10">
        <f>B23-B24</f>
        <v>21819.0</v>
      </c>
      <c r="C25" s="10">
        <f>C23-C24</f>
        <v>18394.0</v>
      </c>
      <c r="D25" s="10">
        <f>D23-D24</f>
        <v>-3425.0</v>
      </c>
      <c r="G25" s="10">
        <f>G23-G24</f>
        <v>92659.0</v>
      </c>
    </row>
    <row r="27" ht="44" customHeight="1">
      <c r="A27" s="2" t="inlineStr">
        <is>
          <t>Lesart: Eine Abweichung ab 10 % (bei kleinen Posten ab 500 €) ist ein Anlass für eine Frage, kein Urteil. Eine Rechnung, die früher kam als geplant, verschiebt nur. Liegt die Hochrechnung der Einnahmen unter Plan, prüfen Sie zuerst offene Rechnungen und Vorschüsse, dann die Entnahme.</t>
        </is>
      </c>
    </row>
  </sheetData>
  <mergeCells count="2">
    <mergeCell ref="A27:G27"/>
    <mergeCell ref="C2:G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62"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2" customWidth="1" min="14" max="14"/>
  </cols>
  <sheetData>
    <row r="1">
      <c r="A1" s="1" t="inlineStr">
        <is>
          <t>Blatt 5: Einkommensteuer und Krankenversicherung – Näherung für die Planung</t>
        </is>
      </c>
    </row>
    <row r="2" ht="44" customHeight="1">
      <c r="A2" s="2" t="inlineStr">
        <is>
          <t>Näherung, keine Steuerberechnung: zu versteuerndes Einkommen = Gewinn − Vorsorgeaufwendungen (Versorgungswerk, Kranken- und Pflegeversicherung), Grundtarif § 32a Abs. 1 EStG ab 2026, ohne Kinderfreibeträge, ohne weitere Sonderausgaben, ohne Solidaritätszuschlag; das Planjahr mit dem Tarif 2026, eine Nachzahlung an die Krankenkasse nicht als Sonderausgabe abgezogen (die Steuer liegt dadurch eher zu hoch). Ersetzen Sie die Werte durch die Ihres Steuerberaters und Ihrer Bescheide.</t>
        </is>
      </c>
    </row>
    <row r="4">
      <c r="A4" s="9" t="inlineStr">
        <is>
          <t>A. Vorjahr (2026): Steuerbescheid kommt im Planjahr</t>
        </is>
      </c>
    </row>
    <row r="5">
      <c r="A5" s="3" t="inlineStr">
        <is>
          <t>Gewinn Vorjahr</t>
        </is>
      </c>
      <c r="B5" s="5" t="n">
        <v>86000</v>
      </c>
    </row>
    <row r="6">
      <c r="A6" s="3" t="inlineStr">
        <is>
          <t>Vorsorgeaufwendungen Vorjahr (gezahlt; Beispiel: Versorgungswerk 12.000 €, Krankenversicherung 10.128 €)</t>
        </is>
      </c>
      <c r="B6" s="5" t="n">
        <v>22128</v>
      </c>
    </row>
    <row r="7">
      <c r="A7" s="3" t="inlineStr">
        <is>
          <t>zu versteuerndes Einkommen (Näherung)</t>
        </is>
      </c>
      <c r="B7" s="11">
        <f>MAX(0,B5-B6)</f>
        <v>63872.0</v>
      </c>
    </row>
    <row r="8">
      <c r="A8" s="3" t="inlineStr">
        <is>
          <t>Einkommensteuer Vorjahr (Grundtarif)</t>
        </is>
      </c>
      <c r="B8" s="11">
        <f>IF(INT(B7)&lt;=12348,0,IF(INT(B7)&lt;=17799,INT((914.51*(INT(B7)-12348)/10000+1400)*(INT(B7)-12348)/10000),IF(INT(B7)&lt;=69878,INT((173.1*(INT(B7)-17799)/10000+2397)*(INT(B7)-17799)/10000+1034.87),IF(INT(B7)&lt;=277825,INT(0.42*INT(B7)-11135.63),INT(0.45*INT(B7)-19470.38)))))</f>
        <v>15752.0</v>
      </c>
    </row>
    <row r="9">
      <c r="A9" s="3" t="inlineStr">
        <is>
          <t>Kirchensteuer-Satz (0 %, 8 % oder 9 %)</t>
        </is>
      </c>
      <c r="B9" s="6" t="n">
        <v>0</v>
      </c>
    </row>
    <row r="10">
      <c r="A10" s="3" t="inlineStr">
        <is>
          <t>Einkommensteuer und Kirchensteuer Vorjahr</t>
        </is>
      </c>
      <c r="B10" s="10">
        <f>ROUND(B8*(1+B9),0)</f>
        <v>15752.0</v>
      </c>
    </row>
    <row r="11">
      <c r="A11" s="3" t="inlineStr">
        <is>
          <t>im Vorjahr gezahlte Vorauszahlungen</t>
        </is>
      </c>
      <c r="B11" s="5" t="n">
        <v>4000</v>
      </c>
    </row>
    <row r="12">
      <c r="A12" s="3" t="inlineStr">
        <is>
          <t>Abschlusszahlung Vorjahr (negativ = Erstattung)</t>
        </is>
      </c>
      <c r="B12" s="10">
        <f>B10-B11</f>
        <v>11752.0</v>
      </c>
    </row>
    <row r="13">
      <c r="A13" s="3" t="inlineStr">
        <is>
          <t>Monat, in dem der Bescheid bekannt gegeben wird (Annahme)</t>
        </is>
      </c>
      <c r="B13" s="4" t="n">
        <v>7</v>
      </c>
      <c r="C13" s="2" t="inlineStr">
        <is>
          <t>Bescheid erst im Dezember oder gar nicht im Planjahr: Abschlusszahlung und Vorauszahlungen hier nicht abbildbar, Werte des Steuerberaters eintragen</t>
        </is>
      </c>
    </row>
    <row r="14">
      <c r="A14" s="3" t="inlineStr">
        <is>
          <t>Vorauszahlung je Quartal bisher</t>
        </is>
      </c>
      <c r="B14" s="5" t="n">
        <v>1000</v>
      </c>
    </row>
    <row r="15">
      <c r="A15" s="3" t="inlineStr">
        <is>
          <t>Vorauszahlung je Quartal neu (nach dem Bescheid)</t>
        </is>
      </c>
      <c r="B15" s="10">
        <f>ROUND(B10/4,0)</f>
        <v>3938.0</v>
      </c>
    </row>
    <row r="16">
      <c r="A16" s="9" t="inlineStr">
        <is>
          <t>B. Planjahr (2027)</t>
        </is>
      </c>
    </row>
    <row r="17">
      <c r="A17" s="3" t="inlineStr">
        <is>
          <t>Gewinn Planjahr (Blatt „Plan“)</t>
        </is>
      </c>
      <c r="B17" s="11">
        <f>Plan!N28</f>
        <v>94393.0</v>
      </c>
    </row>
    <row r="18">
      <c r="A18" s="3" t="inlineStr">
        <is>
          <t>Vorsorgeaufwendungen Planjahr (Versorgungswerk + Krankenversicherung laufend)</t>
        </is>
      </c>
      <c r="B18" s="11">
        <f>Plan!N31+Plan!N32</f>
        <v>28593.0</v>
      </c>
    </row>
    <row r="19">
      <c r="A19" s="3" t="inlineStr">
        <is>
          <t>Einkommensteuer Planjahr (Näherung, mit Kirchensteuer-Satz)</t>
        </is>
      </c>
      <c r="B19" s="10">
        <f>ROUND((IF(INT(MAX(0,B17-B18))&lt;=12348,0,IF(INT(MAX(0,B17-B18))&lt;=17799,INT((914.51*(INT(MAX(0,B17-B18))-12348)/10000+1400)*(INT(MAX(0,B17-B18))-12348)/10000),IF(INT(MAX(0,B17-B18))&lt;=69878,INT((173.1*(INT(MAX(0,B17-B18))-17799)/10000+2397)*(INT(MAX(0,B17-B18))-17799)/10000+1034.87),IF(INT(MAX(0,B17-B18))&lt;=277825,INT(0.42*INT(MAX(0,B17-B18))-11135.63),INT(0.45*INT(MAX(0,B17-B18))-19470.38))))))*(1+B9),0)</f>
        <v>16529.0</v>
      </c>
    </row>
    <row r="20">
      <c r="A20" s="3" t="inlineStr">
        <is>
          <t>noch offene Einkommensteuer des Planjahrs (Abschlusszahlung im Folgejahr; negativ = Erstattung)</t>
        </is>
      </c>
      <c r="B20" s="11">
        <f>B19-B15*4</f>
        <v>777.0</v>
      </c>
    </row>
    <row r="21">
      <c r="A21" s="3" t="inlineStr">
        <is>
          <t>Nachforderung der Krankenkasse für das Planjahr (Schätzung, kommt im Folgejahr)</t>
        </is>
      </c>
      <c r="B21" s="11">
        <f>MAX(0,ROUND(MIN(B17,B37)*B31,0)-N41)</f>
        <v>3509.0</v>
      </c>
    </row>
    <row r="22">
      <c r="A22" s="3" t="inlineStr">
        <is>
          <t>Zahlungen vom Steuerkonto im Planjahr (Zeilen 40 und 42)</t>
        </is>
      </c>
      <c r="B22" s="11">
        <f>N40+N42</f>
        <v>32093.0</v>
      </c>
    </row>
    <row r="23">
      <c r="A23" s="3" t="inlineStr">
        <is>
          <t>nötiger Rücklagesatz für das Planjahr</t>
        </is>
      </c>
      <c r="B23" s="13">
        <f>IF(Plan!N7+Plan!N8=0,"",MAX(0,(B22+B20+B21-Annahmen!B6))/(Plan!N7+Plan!N8))</f>
        <v>0.24529545454545454</v>
      </c>
      <c r="C23" s="2" t="inlineStr">
        <is>
          <t>(Steuerzahlungen Planjahr + noch offene Steuer des Planjahrs + Nachforderung der Kasse für das Planjahr − Startbestand) ÷ Eingänge; aufrunden und in Blatt „Annahmen“, Zeile 11 eintragen</t>
        </is>
      </c>
    </row>
    <row r="24">
      <c r="A24" s="3" t="inlineStr">
        <is>
          <t>Hinweis Solidaritätszuschlag</t>
        </is>
      </c>
      <c r="B24" s="12" t="str">
        <f>IF(MAX(B8,B19)&gt;20350,"Einkommensteuer über 20.350 €: Solidaritätszuschlag prüfen (§ 3 Abs. 3 SolzG)","unter der Freigrenze von 20.350 € (§ 3 Abs. 3 SolzG)")</f>
        <v>unter der Freigrenze von 20.350 € (§ 3 Abs. 3 SolzG)</v>
      </c>
    </row>
    <row r="25">
      <c r="A25" s="3" t="inlineStr">
        <is>
          <t>Gewinn − alle Zahlungen des Planjahrs für Vorsorge, Einkommensteuer (auch Nachzahlungen für das Vorjahr) und Tilgung</t>
        </is>
      </c>
      <c r="B25" s="11">
        <f>B17-Plan!N31-Plan!N32-B22-Plan!N35</f>
        <v>33707.0</v>
      </c>
    </row>
    <row r="26">
      <c r="A26" s="3" t="inlineStr">
        <is>
          <t>tragfähige Entnahme je Monat im Planjahr (ohne Aufbau von Reserven)</t>
        </is>
      </c>
      <c r="B26" s="10">
        <f>ROUND(B25/12,0)</f>
        <v>2809.0</v>
      </c>
      <c r="C26" s="2" t="inlineStr">
        <is>
          <t>rechnet mit Zahlungen, nicht mit der Steuer des Jahres: Nachzahlungen für das Vorjahr mindern die Entnahme</t>
        </is>
      </c>
    </row>
    <row r="27">
      <c r="A27" s="3" t="inlineStr">
        <is>
          <t>Ausblick Folgejahr bei gleichem Gewinn (Näherung): Gewinn − Vorsorge − Einkommensteuer − Nachzahlungen für das Planjahr − Tilgung</t>
        </is>
      </c>
      <c r="B27" s="11">
        <f>B17-Plan!N31-12*M41-ROUND((IF(INT(MAX(0,B17-Plan!N31-12*M41))&lt;=12348,0,IF(INT(MAX(0,B17-Plan!N31-12*M41))&lt;=17799,INT((914.51*(INT(MAX(0,B17-Plan!N31-12*M41))-12348)/10000+1400)*(INT(MAX(0,B17-Plan!N31-12*M41))-12348)/10000),IF(INT(MAX(0,B17-Plan!N31-12*M41))&lt;=69878,INT((173.1*(INT(MAX(0,B17-Plan!N31-12*M41))-17799)/10000+2397)*(INT(MAX(0,B17-Plan!N31-12*M41))-17799)/10000+1034.87),IF(INT(MAX(0,B17-Plan!N31-12*M41))&lt;=277825,INT(0.42*INT(MAX(0,B17-Plan!N31-12*M41))-11135.63),INT(0.45*INT(MAX(0,B17-Plan!N31-12*M41))-19470.38))))))*(1+B9),0)-B20-B21-Plan!N35</f>
        <v>42881.0</v>
      </c>
    </row>
    <row r="28">
      <c r="A28" s="3" t="inlineStr">
        <is>
          <t>tragfähige Entnahme je Monat im Folgejahr (Ausblick)</t>
        </is>
      </c>
      <c r="B28" s="10">
        <f>ROUND(B27/12,0)</f>
        <v>3573.0</v>
      </c>
      <c r="C28" s="2" t="inlineStr">
        <is>
          <t>ohne Steuer für zwei Jahre; Beiträge ab Dezember des Planjahrs, Tarif 2026</t>
        </is>
      </c>
    </row>
    <row r="30">
      <c r="A30" s="9" t="inlineStr">
        <is>
          <t>C. Krankenversicherung (freiwillig gesetzlich; bei privater Versicherung Satz in Zeile 31 auf 0 und Prämie in Zeile 38)</t>
        </is>
      </c>
    </row>
    <row r="31">
      <c r="A31" s="3" t="inlineStr">
        <is>
          <t>Beitragssatz Kranken- und Pflegeversicherung (Beispiel 21,1 % = 14,6 % + Zusatzbeitrag 2,9 % + Pflege 3,6 % mit Kind; ohne Kind Pflege 4,2 %)</t>
        </is>
      </c>
      <c r="B31" s="6" t="n">
        <v>0.211</v>
      </c>
    </row>
    <row r="32">
      <c r="A32" s="3" t="inlineStr">
        <is>
          <t>Beitragsbemessungsgrenze Vorjahr (Jahr)</t>
        </is>
      </c>
      <c r="B32" s="5" t="n">
        <v>69750</v>
      </c>
    </row>
    <row r="33">
      <c r="A33" s="3" t="inlineStr">
        <is>
          <t>Beiträge Vorjahr vorläufig gezahlt</t>
        </is>
      </c>
      <c r="B33" s="5" t="n">
        <v>10128</v>
      </c>
    </row>
    <row r="34">
      <c r="A34" s="3" t="inlineStr">
        <is>
          <t>Beiträge Vorjahr endgültig (nach Steuerbescheid)</t>
        </is>
      </c>
      <c r="B34" s="11">
        <f>ROUND(MIN(B5,B32)*B31,0)</f>
        <v>14717.0</v>
      </c>
    </row>
    <row r="35">
      <c r="A35" s="3" t="inlineStr">
        <is>
          <t>Nachforderung der Krankenkasse für das Vorjahr</t>
        </is>
      </c>
      <c r="B35" s="10">
        <f>MAX(0,B34-B33)</f>
        <v>4589.0</v>
      </c>
    </row>
    <row r="36">
      <c r="A36" s="3" t="inlineStr">
        <is>
          <t>Beitrag je Monat bisher (vorläufig)</t>
        </is>
      </c>
      <c r="B36" s="5" t="n">
        <v>844</v>
      </c>
    </row>
    <row r="37">
      <c r="A37" s="3" t="inlineStr">
        <is>
          <t>Beitrag je Monat neu: Bemessungsgrenze Planjahr (2027: Wert laut Entwurf, nach Verkündung prüfen)</t>
        </is>
      </c>
      <c r="B37" s="5" t="n">
        <v>76500</v>
      </c>
      <c r="C37" s="2" t="inlineStr">
        <is>
          <t>neuer Monatsbeitrag ab dem Monat nach dem Bescheid: Gewinn Vorjahr bis zur Grenze × Satz ÷ 12</t>
        </is>
      </c>
    </row>
    <row r="38">
      <c r="A38" s="3" t="inlineStr">
        <is>
          <t>Prämie private Kranken- und Pflegeversicherung je Monat (gilt nur, wenn der Satz in Zeile 31 auf 0 steht)</t>
        </is>
      </c>
      <c r="B38" s="5" t="n">
        <v>0</v>
      </c>
    </row>
    <row r="39">
      <c r="B39" s="9" t="inlineStr">
        <is>
          <t>Jan</t>
        </is>
      </c>
      <c r="C39" s="9" t="inlineStr">
        <is>
          <t>Feb</t>
        </is>
      </c>
      <c r="D39" s="9" t="inlineStr">
        <is>
          <t>Mär</t>
        </is>
      </c>
      <c r="E39" s="9" t="inlineStr">
        <is>
          <t>Apr</t>
        </is>
      </c>
      <c r="F39" s="9" t="inlineStr">
        <is>
          <t>Mai</t>
        </is>
      </c>
      <c r="G39" s="9" t="inlineStr">
        <is>
          <t>Jun</t>
        </is>
      </c>
      <c r="H39" s="9" t="inlineStr">
        <is>
          <t>Jul</t>
        </is>
      </c>
      <c r="I39" s="9" t="inlineStr">
        <is>
          <t>Aug</t>
        </is>
      </c>
      <c r="J39" s="9" t="inlineStr">
        <is>
          <t>Sep</t>
        </is>
      </c>
      <c r="K39" s="9" t="inlineStr">
        <is>
          <t>Okt</t>
        </is>
      </c>
      <c r="L39" s="9" t="inlineStr">
        <is>
          <t>Nov</t>
        </is>
      </c>
      <c r="M39" s="9" t="inlineStr">
        <is>
          <t>Dez</t>
        </is>
      </c>
      <c r="N39" s="9" t="inlineStr">
        <is>
          <t>Jahr</t>
        </is>
      </c>
    </row>
    <row r="40">
      <c r="A40" s="9" t="inlineStr">
        <is>
          <t>Einkommensteuer: Vorauszahlungen und Abschlusszahlung</t>
        </is>
      </c>
      <c r="B40" s="10">
        <f>IF(MOD(1,3)=0,IF(1&lt;$B$13,$B$14,$B$15),0)+IF(1=$B$13+1,$B$12+INT(($B$13-1)/3)*($B$15-$B$14),0)</f>
        <v>0.0</v>
      </c>
      <c r="C40" s="10">
        <f>IF(MOD(2,3)=0,IF(2&lt;$B$13,$B$14,$B$15),0)+IF(2=$B$13+1,$B$12+INT(($B$13-1)/3)*($B$15-$B$14),0)</f>
        <v>0.0</v>
      </c>
      <c r="D40" s="10">
        <f>IF(MOD(3,3)=0,IF(3&lt;$B$13,$B$14,$B$15),0)+IF(3=$B$13+1,$B$12+INT(($B$13-1)/3)*($B$15-$B$14),0)</f>
        <v>1000.0</v>
      </c>
      <c r="E40" s="10">
        <f>IF(MOD(4,3)=0,IF(4&lt;$B$13,$B$14,$B$15),0)+IF(4=$B$13+1,$B$12+INT(($B$13-1)/3)*($B$15-$B$14),0)</f>
        <v>0.0</v>
      </c>
      <c r="F40" s="10">
        <f>IF(MOD(5,3)=0,IF(5&lt;$B$13,$B$14,$B$15),0)+IF(5=$B$13+1,$B$12+INT(($B$13-1)/3)*($B$15-$B$14),0)</f>
        <v>0.0</v>
      </c>
      <c r="G40" s="10">
        <f>IF(MOD(6,3)=0,IF(6&lt;$B$13,$B$14,$B$15),0)+IF(6=$B$13+1,$B$12+INT(($B$13-1)/3)*($B$15-$B$14),0)</f>
        <v>1000.0</v>
      </c>
      <c r="H40" s="10">
        <f>IF(MOD(7,3)=0,IF(7&lt;$B$13,$B$14,$B$15),0)+IF(7=$B$13+1,$B$12+INT(($B$13-1)/3)*($B$15-$B$14),0)</f>
        <v>0.0</v>
      </c>
      <c r="I40" s="10">
        <f>IF(MOD(8,3)=0,IF(8&lt;$B$13,$B$14,$B$15),0)+IF(8=$B$13+1,$B$12+INT(($B$13-1)/3)*($B$15-$B$14),0)</f>
        <v>17628.0</v>
      </c>
      <c r="J40" s="10">
        <f>IF(MOD(9,3)=0,IF(9&lt;$B$13,$B$14,$B$15),0)+IF(9=$B$13+1,$B$12+INT(($B$13-1)/3)*($B$15-$B$14),0)</f>
        <v>3938.0</v>
      </c>
      <c r="K40" s="10">
        <f>IF(MOD(10,3)=0,IF(10&lt;$B$13,$B$14,$B$15),0)+IF(10=$B$13+1,$B$12+INT(($B$13-1)/3)*($B$15-$B$14),0)</f>
        <v>0.0</v>
      </c>
      <c r="L40" s="10">
        <f>IF(MOD(11,3)=0,IF(11&lt;$B$13,$B$14,$B$15),0)+IF(11=$B$13+1,$B$12+INT(($B$13-1)/3)*($B$15-$B$14),0)</f>
        <v>0.0</v>
      </c>
      <c r="M40" s="10">
        <f>IF(MOD(12,3)=0,IF(12&lt;$B$13,$B$14,$B$15),0)+IF(12=$B$13+1,$B$12+INT(($B$13-1)/3)*($B$15-$B$14),0)</f>
        <v>3938.0</v>
      </c>
      <c r="N40" s="10">
        <f>SUM(B40:M40)</f>
        <v>27504.0</v>
      </c>
    </row>
    <row r="41">
      <c r="A41" s="3" t="inlineStr">
        <is>
          <t>Kranken- und Pflegeversicherung laufend</t>
        </is>
      </c>
      <c r="B41" s="11">
        <f>IF($B$31=0,$B$38,IF(1&lt;=$B$13,$B$36,ROUND(MIN($B$5,$B$37)*$B$31/12,0)))</f>
        <v>844.0</v>
      </c>
      <c r="C41" s="11">
        <f>IF($B$31=0,$B$38,IF(2&lt;=$B$13,$B$36,ROUND(MIN($B$5,$B$37)*$B$31/12,0)))</f>
        <v>844.0</v>
      </c>
      <c r="D41" s="11">
        <f>IF($B$31=0,$B$38,IF(3&lt;=$B$13,$B$36,ROUND(MIN($B$5,$B$37)*$B$31/12,0)))</f>
        <v>844.0</v>
      </c>
      <c r="E41" s="11">
        <f>IF($B$31=0,$B$38,IF(4&lt;=$B$13,$B$36,ROUND(MIN($B$5,$B$37)*$B$31/12,0)))</f>
        <v>844.0</v>
      </c>
      <c r="F41" s="11">
        <f>IF($B$31=0,$B$38,IF(5&lt;=$B$13,$B$36,ROUND(MIN($B$5,$B$37)*$B$31/12,0)))</f>
        <v>844.0</v>
      </c>
      <c r="G41" s="11">
        <f>IF($B$31=0,$B$38,IF(6&lt;=$B$13,$B$36,ROUND(MIN($B$5,$B$37)*$B$31/12,0)))</f>
        <v>844.0</v>
      </c>
      <c r="H41" s="11">
        <f>IF($B$31=0,$B$38,IF(7&lt;=$B$13,$B$36,ROUND(MIN($B$5,$B$37)*$B$31/12,0)))</f>
        <v>844.0</v>
      </c>
      <c r="I41" s="11">
        <f>IF($B$31=0,$B$38,IF(8&lt;=$B$13,$B$36,ROUND(MIN($B$5,$B$37)*$B$31/12,0)))</f>
        <v>1345.0</v>
      </c>
      <c r="J41" s="11">
        <f>IF($B$31=0,$B$38,IF(9&lt;=$B$13,$B$36,ROUND(MIN($B$5,$B$37)*$B$31/12,0)))</f>
        <v>1345.0</v>
      </c>
      <c r="K41" s="11">
        <f>IF($B$31=0,$B$38,IF(10&lt;=$B$13,$B$36,ROUND(MIN($B$5,$B$37)*$B$31/12,0)))</f>
        <v>1345.0</v>
      </c>
      <c r="L41" s="11">
        <f>IF($B$31=0,$B$38,IF(11&lt;=$B$13,$B$36,ROUND(MIN($B$5,$B$37)*$B$31/12,0)))</f>
        <v>1345.0</v>
      </c>
      <c r="M41" s="11">
        <f>IF($B$31=0,$B$38,IF(12&lt;=$B$13,$B$36,ROUND(MIN($B$5,$B$37)*$B$31/12,0)))</f>
        <v>1345.0</v>
      </c>
      <c r="N41" s="10">
        <f>SUM(B41:M41)</f>
        <v>12633.0</v>
      </c>
    </row>
    <row r="42">
      <c r="A42" s="3" t="inlineStr">
        <is>
          <t>Nachforderung Krankenkasse Vorjahr</t>
        </is>
      </c>
      <c r="B42" s="11">
        <f>IF(1=$B$13+1,$B$35,0)</f>
        <v>0.0</v>
      </c>
      <c r="C42" s="11">
        <f>IF(2=$B$13+1,$B$35,0)</f>
        <v>0.0</v>
      </c>
      <c r="D42" s="11">
        <f>IF(3=$B$13+1,$B$35,0)</f>
        <v>0.0</v>
      </c>
      <c r="E42" s="11">
        <f>IF(4=$B$13+1,$B$35,0)</f>
        <v>0.0</v>
      </c>
      <c r="F42" s="11">
        <f>IF(5=$B$13+1,$B$35,0)</f>
        <v>0.0</v>
      </c>
      <c r="G42" s="11">
        <f>IF(6=$B$13+1,$B$35,0)</f>
        <v>0.0</v>
      </c>
      <c r="H42" s="11">
        <f>IF(7=$B$13+1,$B$35,0)</f>
        <v>0.0</v>
      </c>
      <c r="I42" s="11">
        <f>IF(8=$B$13+1,$B$35,0)</f>
        <v>4589.0</v>
      </c>
      <c r="J42" s="11">
        <f>IF(9=$B$13+1,$B$35,0)</f>
        <v>0.0</v>
      </c>
      <c r="K42" s="11">
        <f>IF(10=$B$13+1,$B$35,0)</f>
        <v>0.0</v>
      </c>
      <c r="L42" s="11">
        <f>IF(11=$B$13+1,$B$35,0)</f>
        <v>0.0</v>
      </c>
      <c r="M42" s="11">
        <f>IF(12=$B$13+1,$B$35,0)</f>
        <v>0.0</v>
      </c>
      <c r="N42" s="10">
        <f>SUM(B42:M42)</f>
        <v>4589.0</v>
      </c>
    </row>
    <row r="44" ht="70" customHeight="1">
      <c r="A44" s="2" t="inlineStr">
        <is>
          <t>Fälligkeiten: Vorauszahlungen am 10.03., 10.06., 10.09. und 10.12. (§ 37 Abs. 1 EStG); Abschlusszahlung innerhalb eines Monats nach Bekanntgabe des Bescheids (§ 36 Abs. 4 EStG); erhöhte Vorauszahlungen für schon verstrichene Termine innerhalb eines Monats nach Bekanntgabe (§ 37 Abs. 4 EStG). Der Plan setzt beides in den Monat nach dem Bescheid. Krankenkasse: vorläufige Beiträge nach dem letzten Steuerbescheid ab dem Monat nach seiner Ausfertigung, endgültig nach dem Bescheid des Jahres; wer seine Einnahmen auf Verlangen nicht binnen drei Jahren nachweist, zahlt endgültig nach der Bemessungsgrenze (§ 240 Abs. 4a SGB V). Bescheid also immer vorlegen.</t>
        </is>
      </c>
    </row>
  </sheetData>
  <mergeCells count="7">
    <mergeCell ref="C37:N37"/>
    <mergeCell ref="A2:N2"/>
    <mergeCell ref="C28:N28"/>
    <mergeCell ref="C23:N23"/>
    <mergeCell ref="C13:N13"/>
    <mergeCell ref="C26:N26"/>
    <mergeCell ref="A44:N4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9" customWidth="1" min="2" max="2"/>
    <col width="13" customWidth="1" min="3" max="3"/>
    <col width="12" customWidth="1" min="4" max="4"/>
    <col width="12" customWidth="1" min="5" max="5"/>
    <col width="15" customWidth="1" min="6" max="6"/>
    <col width="15" customWidth="1" min="7" max="7"/>
    <col width="50" customWidth="1" min="8" max="8"/>
  </cols>
  <sheetData>
    <row r="1">
      <c r="A1" s="1" t="inlineStr">
        <is>
          <t>Blatt 6: Investitionen und Abschreibung</t>
        </is>
      </c>
    </row>
    <row r="2" ht="44" customHeight="1">
      <c r="A2" s="2" t="inlineStr">
        <is>
          <t>Bis 800 € netto je Gegenstand (selbständig nutzbar) sofort abziehbar (§ 6 Abs. 2 EStG). Darüber wird abgeschrieben (AfA, Absetzung für Abnutzung): linear über die Nutzungsdauer laut amtlicher AfA-Tabelle, im ersten Jahr anteilig nach Monaten (§ 7 Abs. 1 EStG). Andere Wahlrechte (Sammelposten, degressive AfA, Investitionsabzugsbetrag, Sonderabschreibung nach § 7g Abs. 5 EStG) mit dem Steuerberater.</t>
        </is>
      </c>
    </row>
    <row r="5">
      <c r="A5" s="9" t="inlineStr">
        <is>
          <t>Gegenstand</t>
        </is>
      </c>
      <c r="B5" s="9" t="inlineStr">
        <is>
          <t>Monat</t>
        </is>
      </c>
      <c r="C5" s="9" t="inlineStr">
        <is>
          <t>netto</t>
        </is>
      </c>
      <c r="D5" s="9" t="inlineStr">
        <is>
          <t>Nutzungs-dauer (Jahre)</t>
        </is>
      </c>
      <c r="E5" s="9" t="inlineStr">
        <is>
          <t>sofort abziehbar?</t>
        </is>
      </c>
      <c r="F5" s="9" t="inlineStr">
        <is>
          <t>Abzug sofort</t>
        </is>
      </c>
      <c r="G5" s="9" t="inlineStr">
        <is>
          <t>Abschreibung linear im Jahr</t>
        </is>
      </c>
      <c r="H5" s="9" t="inlineStr">
        <is>
          <t>Hinweis</t>
        </is>
      </c>
    </row>
    <row r="6">
      <c r="A6" s="17" t="inlineStr">
        <is>
          <t>Schreibtisch ReFa</t>
        </is>
      </c>
      <c r="B6" s="4" t="n">
        <v>6</v>
      </c>
      <c r="C6" s="5" t="n">
        <v>650</v>
      </c>
      <c r="D6" s="4" t="n">
        <v>13</v>
      </c>
      <c r="E6" s="12" t="str">
        <f>IF(C6="","",IF(C6&lt;=800,"ja","nein"))</f>
        <v>ja</v>
      </c>
      <c r="F6" s="11">
        <f>IF(E6="ja",C6,0)</f>
        <v>650.0</v>
      </c>
      <c r="G6" s="11">
        <f>IF(OR(E6&lt;&gt;"nein",D6="",D6=0),0,ROUND(C6/D6*(13-B6)/12,0))</f>
        <v>0.0</v>
      </c>
      <c r="H6" s="2" t="inlineStr">
        <is>
          <t>Nutzungsdauern im Beispiel nur zur Anschauung; bei Beträgen bis 800 € spielen sie keine Rolle</t>
        </is>
      </c>
    </row>
    <row r="7">
      <c r="A7" s="17" t="inlineStr">
        <is>
          <t>Bürostuhl ReFa</t>
        </is>
      </c>
      <c r="B7" s="4" t="n">
        <v>6</v>
      </c>
      <c r="C7" s="5" t="n">
        <v>450</v>
      </c>
      <c r="D7" s="4" t="n">
        <v>13</v>
      </c>
      <c r="E7" s="12" t="str">
        <f>IF(C7="","",IF(C7&lt;=800,"ja","nein"))</f>
        <v>ja</v>
      </c>
      <c r="F7" s="11">
        <f>IF(E7="ja",C7,0)</f>
        <v>450.0</v>
      </c>
      <c r="G7" s="11">
        <f>IF(OR(E7&lt;&gt;"nein",D7="",D7=0),0,ROUND(C7/D7*(13-B7)/12,0))</f>
        <v>0.0</v>
      </c>
    </row>
    <row r="8">
      <c r="A8" s="17" t="inlineStr">
        <is>
          <t>Notebook ReFa</t>
        </is>
      </c>
      <c r="B8" s="4" t="n">
        <v>6</v>
      </c>
      <c r="C8" s="5" t="n">
        <v>790</v>
      </c>
      <c r="D8" s="4" t="n">
        <v>3</v>
      </c>
      <c r="E8" s="12" t="str">
        <f>IF(C8="","",IF(C8&lt;=800,"ja","nein"))</f>
        <v>ja</v>
      </c>
      <c r="F8" s="11">
        <f>IF(E8="ja",C8,0)</f>
        <v>790.0</v>
      </c>
      <c r="G8" s="11">
        <f>IF(OR(E8&lt;&gt;"nein",D8="",D8=0),0,ROUND(C8/D8*(13-B8)/12,0))</f>
        <v>0.0</v>
      </c>
    </row>
    <row r="9">
      <c r="A9" s="17" t="inlineStr">
        <is>
          <t>Bildschirm ReFa</t>
        </is>
      </c>
      <c r="B9" s="4" t="n">
        <v>6</v>
      </c>
      <c r="C9" s="5" t="n">
        <v>210</v>
      </c>
      <c r="D9" s="4" t="n">
        <v>3</v>
      </c>
      <c r="E9" s="12" t="str">
        <f>IF(C9="","",IF(C9&lt;=800,"ja","nein"))</f>
        <v>ja</v>
      </c>
      <c r="F9" s="11">
        <f>IF(E9="ja",C9,0)</f>
        <v>210.0</v>
      </c>
      <c r="G9" s="11">
        <f>IF(OR(E9&lt;&gt;"nein",D9="",D9=0),0,ROUND(C9/D9*(13-B9)/12,0))</f>
        <v>0.0</v>
      </c>
    </row>
    <row r="10">
      <c r="A10" s="17" t="n"/>
      <c r="B10" s="4" t="n"/>
      <c r="C10" s="5" t="n"/>
      <c r="D10" s="4" t="n"/>
      <c r="E10" s="12" t="str">
        <f>IF(C10="","",IF(C10&lt;=800,"ja","nein"))</f>
        <v/>
      </c>
      <c r="F10" s="11">
        <f>IF(E10="ja",C10,0)</f>
        <v>0.0</v>
      </c>
      <c r="G10" s="11">
        <f>IF(OR(E10&lt;&gt;"nein",D10="",D10=0),0,ROUND(C10/D10*(13-B10)/12,0))</f>
        <v>0.0</v>
      </c>
    </row>
    <row r="11">
      <c r="A11" s="17" t="n"/>
      <c r="B11" s="4" t="n"/>
      <c r="C11" s="5" t="n"/>
      <c r="D11" s="4" t="n"/>
      <c r="E11" s="12" t="str">
        <f>IF(C11="","",IF(C11&lt;=800,"ja","nein"))</f>
        <v/>
      </c>
      <c r="F11" s="11">
        <f>IF(E11="ja",C11,0)</f>
        <v>0.0</v>
      </c>
      <c r="G11" s="11">
        <f>IF(OR(E11&lt;&gt;"nein",D11="",D11=0),0,ROUND(C11/D11*(13-B11)/12,0))</f>
        <v>0.0</v>
      </c>
    </row>
    <row r="12">
      <c r="A12" s="17" t="n"/>
      <c r="B12" s="4" t="n"/>
      <c r="C12" s="5" t="n"/>
      <c r="D12" s="4" t="n"/>
      <c r="E12" s="12" t="str">
        <f>IF(C12="","",IF(C12&lt;=800,"ja","nein"))</f>
        <v/>
      </c>
      <c r="F12" s="11">
        <f>IF(E12="ja",C12,0)</f>
        <v>0.0</v>
      </c>
      <c r="G12" s="11">
        <f>IF(OR(E12&lt;&gt;"nein",D12="",D12=0),0,ROUND(C12/D12*(13-B12)/12,0))</f>
        <v>0.0</v>
      </c>
    </row>
    <row r="13">
      <c r="A13" s="17" t="n"/>
      <c r="B13" s="4" t="n"/>
      <c r="C13" s="5" t="n"/>
      <c r="D13" s="4" t="n"/>
      <c r="E13" s="12" t="str">
        <f>IF(C13="","",IF(C13&lt;=800,"ja","nein"))</f>
        <v/>
      </c>
      <c r="F13" s="11">
        <f>IF(E13="ja",C13,0)</f>
        <v>0.0</v>
      </c>
      <c r="G13" s="11">
        <f>IF(OR(E13&lt;&gt;"nein",D13="",D13=0),0,ROUND(C13/D13*(13-B13)/12,0))</f>
        <v>0.0</v>
      </c>
    </row>
    <row r="14">
      <c r="A14" s="17" t="n"/>
      <c r="B14" s="4" t="n"/>
      <c r="C14" s="5" t="n"/>
      <c r="D14" s="4" t="n"/>
      <c r="E14" s="12" t="str">
        <f>IF(C14="","",IF(C14&lt;=800,"ja","nein"))</f>
        <v/>
      </c>
      <c r="F14" s="11">
        <f>IF(E14="ja",C14,0)</f>
        <v>0.0</v>
      </c>
      <c r="G14" s="11">
        <f>IF(OR(E14&lt;&gt;"nein",D14="",D14=0),0,ROUND(C14/D14*(13-B14)/12,0))</f>
        <v>0.0</v>
      </c>
    </row>
    <row r="15">
      <c r="A15" s="17" t="n"/>
      <c r="B15" s="4" t="n"/>
      <c r="C15" s="5" t="n"/>
      <c r="D15" s="4" t="n"/>
      <c r="E15" s="12" t="str">
        <f>IF(C15="","",IF(C15&lt;=800,"ja","nein"))</f>
        <v/>
      </c>
      <c r="F15" s="11">
        <f>IF(E15="ja",C15,0)</f>
        <v>0.0</v>
      </c>
      <c r="G15" s="11">
        <f>IF(OR(E15&lt;&gt;"nein",D15="",D15=0),0,ROUND(C15/D15*(13-B15)/12,0))</f>
        <v>0.0</v>
      </c>
    </row>
    <row r="16">
      <c r="A16" s="17" t="n"/>
      <c r="B16" s="4" t="n"/>
      <c r="C16" s="5" t="n"/>
      <c r="D16" s="4" t="n"/>
      <c r="E16" s="12" t="str">
        <f>IF(C16="","",IF(C16&lt;=800,"ja","nein"))</f>
        <v/>
      </c>
      <c r="F16" s="11">
        <f>IF(E16="ja",C16,0)</f>
        <v>0.0</v>
      </c>
      <c r="G16" s="11">
        <f>IF(OR(E16&lt;&gt;"nein",D16="",D16=0),0,ROUND(C16/D16*(13-B16)/12,0))</f>
        <v>0.0</v>
      </c>
    </row>
    <row r="17">
      <c r="A17" s="17" t="n"/>
      <c r="B17" s="4" t="n"/>
      <c r="C17" s="5" t="n"/>
      <c r="D17" s="4" t="n"/>
      <c r="E17" s="12" t="str">
        <f>IF(C17="","",IF(C17&lt;=800,"ja","nein"))</f>
        <v/>
      </c>
      <c r="F17" s="11">
        <f>IF(E17="ja",C17,0)</f>
        <v>0.0</v>
      </c>
      <c r="G17" s="11">
        <f>IF(OR(E17&lt;&gt;"nein",D17="",D17=0),0,ROUND(C17/D17*(13-B17)/12,0))</f>
        <v>0.0</v>
      </c>
    </row>
    <row r="18">
      <c r="A18" s="9" t="inlineStr">
        <is>
          <t>= Summe</t>
        </is>
      </c>
      <c r="C18" s="10">
        <f>SUM(C6:C17)</f>
        <v>2100.0</v>
      </c>
      <c r="F18" s="10">
        <f>SUM(F6:F17)</f>
        <v>2100.0</v>
      </c>
      <c r="G18" s="10">
        <f>SUM(G6:G17)</f>
        <v>0.0</v>
      </c>
    </row>
    <row r="20" ht="30" customHeight="1">
      <c r="A20" s="2" t="inlineStr">
        <is>
          <t>Die Abschreibung steht im Plan im Dezember (Zeile 26), die Auszahlung im Monat des Kaufs (Zeile 24). Ein Kredit erscheint nur mit seinen Zinsen in den Kosten (Plan, Zeile 22), die Tilgung zahlen Sie aus dem Gewinn (Plan, Zeile 35).</t>
        </is>
      </c>
    </row>
  </sheetData>
  <mergeCells count="3">
    <mergeCell ref="A20:H20"/>
    <mergeCell ref="A2:H2"/>
    <mergeCell ref="H6:H9"/>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60" customWidth="1" min="1" max="1"/>
    <col width="16" customWidth="1" min="2" max="2"/>
    <col width="16" customWidth="1" min="3" max="3"/>
    <col width="16" customWidth="1" min="4" max="4"/>
    <col width="50" customWidth="1" min="5" max="5"/>
  </cols>
  <sheetData>
    <row r="1">
      <c r="A1" s="1" t="inlineStr">
        <is>
          <t>Blatt 7: Sozietät – Gewinnverteilung, Steuer und Entnahmen je Partner</t>
        </is>
      </c>
    </row>
    <row r="2" ht="30" customHeight="1">
      <c r="A2" s="2" t="inlineStr">
        <is>
          <t>Für Personengesellschaften (GbR, Partnerschaft). Das Budget der Kanzlei (Blätter 2–6) endet beim Gewinn; Vorsorge und Einkommensteuer trägt jeder Partner privat, auch für Gewinn, der in der Kanzlei bleibt. Beispiel erfunden.</t>
        </is>
      </c>
    </row>
    <row r="4">
      <c r="A4" s="3" t="inlineStr">
        <is>
          <t>Gewinn der Gesellschaft im Planjahr</t>
        </is>
      </c>
      <c r="B4" s="5" t="n">
        <v>240000</v>
      </c>
    </row>
    <row r="5">
      <c r="A5" s="3" t="inlineStr">
        <is>
          <t>davon in der Kanzlei behalten (Reserve, Investitionen)</t>
        </is>
      </c>
      <c r="B5" s="5" t="n">
        <v>20000</v>
      </c>
    </row>
    <row r="7">
      <c r="B7" s="9" t="inlineStr">
        <is>
          <t>Partner A</t>
        </is>
      </c>
      <c r="C7" s="9" t="inlineStr">
        <is>
          <t>Partner B</t>
        </is>
      </c>
      <c r="D7" s="9" t="inlineStr">
        <is>
          <t>Summe</t>
        </is>
      </c>
    </row>
    <row r="8">
      <c r="A8" s="3" t="inlineStr">
        <is>
          <t>Vorabgewinn (laut Gesellschaftsvertrag)</t>
        </is>
      </c>
      <c r="B8" s="5" t="n">
        <v>20000</v>
      </c>
      <c r="C8" s="5" t="n">
        <v>0</v>
      </c>
      <c r="D8" s="11">
        <f>B8+C8</f>
        <v>20000.0</v>
      </c>
    </row>
    <row r="9">
      <c r="A9" s="3" t="inlineStr">
        <is>
          <t>Anteil am Restgewinn</t>
        </is>
      </c>
      <c r="B9" s="6" t="n">
        <v>0.5</v>
      </c>
      <c r="C9" s="6" t="n">
        <v>0.5</v>
      </c>
      <c r="D9" s="16">
        <f>B9+C9</f>
        <v>1.0</v>
      </c>
    </row>
    <row r="10">
      <c r="A10" s="3" t="inlineStr">
        <is>
          <t>Gewinnanteil (steuerpflichtig)</t>
        </is>
      </c>
      <c r="B10" s="10">
        <f>B8+B9*($B$4-$B$8-$C$8)</f>
        <v>130000.0</v>
      </c>
      <c r="C10" s="10">
        <f>C8+C9*($B$4-$B$8-$C$8)</f>
        <v>110000.0</v>
      </c>
      <c r="D10" s="10">
        <f>B10+C10</f>
        <v>240000.0</v>
      </c>
    </row>
    <row r="11">
      <c r="A11" s="3" t="inlineStr">
        <is>
          <t>Anteil an der behaltenen Reserve</t>
        </is>
      </c>
      <c r="B11" s="11">
        <f>IF($B$4=0,0,ROUND($B$5*B10/$B$4,0))</f>
        <v>10833.0</v>
      </c>
      <c r="C11" s="11">
        <f>IF($B$4=0,0,ROUND($B$5*C10/$B$4,0))</f>
        <v>9167.0</v>
      </c>
      <c r="D11" s="11">
        <f>B11+C11</f>
        <v>20000.0</v>
      </c>
    </row>
    <row r="12">
      <c r="A12" s="3" t="inlineStr">
        <is>
          <t>Vorsorgeaufwendungen (Versorgungswerk, Krankenversicherung)</t>
        </is>
      </c>
      <c r="B12" s="5" t="n">
        <v>34000</v>
      </c>
      <c r="C12" s="5" t="n">
        <v>30000</v>
      </c>
      <c r="D12" s="11">
        <f>B12+C12</f>
        <v>64000.0</v>
      </c>
    </row>
    <row r="13">
      <c r="A13" s="3" t="inlineStr">
        <is>
          <t>Einkommensteuer (Näherung, Grundtarif)</t>
        </is>
      </c>
      <c r="B13" s="11">
        <f>IF(INT(MAX(0,B10-B12))&lt;=12348,0,IF(INT(MAX(0,B10-B12))&lt;=17799,INT((914.51*(INT(MAX(0,B10-B12))-12348)/10000+1400)*(INT(MAX(0,B10-B12))-12348)/10000),IF(INT(MAX(0,B10-B12))&lt;=69878,INT((173.1*(INT(MAX(0,B10-B12))-17799)/10000+2397)*(INT(MAX(0,B10-B12))-17799)/10000+1034.87),IF(INT(MAX(0,B10-B12))&lt;=277825,INT(0.42*INT(MAX(0,B10-B12))-11135.63),INT(0.45*INT(MAX(0,B10-B12))-19470.38)))))</f>
        <v>29184.0</v>
      </c>
      <c r="C13" s="11">
        <f>IF(INT(MAX(0,C10-C12))&lt;=12348,0,IF(INT(MAX(0,C10-C12))&lt;=17799,INT((914.51*(INT(MAX(0,C10-C12))-12348)/10000+1400)*(INT(MAX(0,C10-C12))-12348)/10000),IF(INT(MAX(0,C10-C12))&lt;=69878,INT((173.1*(INT(MAX(0,C10-C12))-17799)/10000+2397)*(INT(MAX(0,C10-C12))-17799)/10000+1034.87),IF(INT(MAX(0,C10-C12))&lt;=277825,INT(0.42*INT(MAX(0,C10-C12))-11135.63),INT(0.45*INT(MAX(0,C10-C12))-19470.38)))))</f>
        <v>22464.0</v>
      </c>
      <c r="D13" s="11">
        <f>B13+C13</f>
        <v>51648.0</v>
      </c>
    </row>
    <row r="14">
      <c r="A14" s="9" t="inlineStr">
        <is>
          <t>= für Entnahmen verfügbar im Jahr</t>
        </is>
      </c>
      <c r="B14" s="10">
        <f>B10-B11-B12-B13</f>
        <v>55983.0</v>
      </c>
      <c r="C14" s="10">
        <f>C10-C11-C12-C13</f>
        <v>48369.0</v>
      </c>
      <c r="D14" s="10">
        <f>B14+C14</f>
        <v>104352.0</v>
      </c>
    </row>
    <row r="15">
      <c r="A15" s="9" t="inlineStr">
        <is>
          <t>= tragfähige Entnahme je Monat</t>
        </is>
      </c>
      <c r="B15" s="10">
        <f>ROUND(B14/12,0)</f>
        <v>4665.0</v>
      </c>
      <c r="C15" s="10">
        <f>ROUND(C14/12,0)</f>
        <v>4031.0</v>
      </c>
      <c r="D15" s="10">
        <f>B15+C15</f>
        <v>8696.0</v>
      </c>
    </row>
    <row r="17">
      <c r="A17" s="3" t="inlineStr">
        <is>
          <t>Prüfung: Gewinnanteile = Gewinn der Gesellschaft</t>
        </is>
      </c>
      <c r="B17" s="15" t="str">
        <f>IF(ROUND(D10-B4,0)=0,"stimmt","Anteile prüfen (Zeile 9 muss 100 % ergeben)")</f>
        <v>stimmt</v>
      </c>
    </row>
    <row r="19" ht="84" customHeight="1">
      <c r="A19" s="2" t="inlineStr">
        <is>
          <t>Der Gewinn wird für die Gesellschaft gesondert und einheitlich festgestellt und den Partnern zugerechnet (§ 180 Abs. 1 Satz 1 Nr. 2 Buchst. a AO); jeder Partner zahlt eigene Vorauszahlungen. Gewinnverteilung und Entnahmen stehen im Gesellschaftsvertrag. Ohne Regelung erfolgen Rechnungsabschluss und Gewinnverteilung im Zweifel zum Schluss jedes Kalenderjahres (§ 718 BGB, für die Partnerschaft über § 1 Abs. 4 PartGG); monatliche Entnahmen brauchen deshalb eine Vereinbarung und sind Vorschüsse auf einen Anteil, der erst mit dem Abschluss feststeht. Das Blatt kennt zwei Partner und kein Personal: Personal und Kostenstellen planen Sie in den Blättern 2–6. Bei einer Rechtsanwalts-GmbH oder eingetragenen OHG/KG gelten andere Regeln (Bilanz, bei der GmbH Gehalt und Gewerbesteuer).</t>
        </is>
      </c>
    </row>
  </sheetData>
  <mergeCells count="2">
    <mergeCell ref="A2:E2"/>
    <mergeCell ref="A19:E1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120" customWidth="1" min="1" max="1"/>
  </cols>
  <sheetData>
    <row r="1">
      <c r="A1" s="1" t="inlineStr">
        <is>
          <t>Budget der Kanzlei 2027 – Excel-Vorlage von ratg.de</t>
        </is>
      </c>
    </row>
    <row r="2">
      <c r="A2" s="9" t="inlineStr">
        <is>
          <t>Stand: Rechtsstand 23.10.2026 (Steuertarif § 32a EStG ab 2026; Werte 2027 laut Entwurf sind markiert). Fassung 3.</t>
        </is>
      </c>
    </row>
    <row r="3">
      <c r="A3" s="3" t="inlineStr">
        <is>
          <t>Zum Artikel mit Rechenweg, Fall und Erläuterungen: https://ratg.de/finanzen-im-fokus/</t>
        </is>
      </c>
    </row>
    <row r="4">
      <c r="A4" s="3" t="inlineStr"/>
    </row>
    <row r="5">
      <c r="A5" s="9" t="inlineStr">
        <is>
          <t>So arbeiten Sie mit der Vorlage</t>
        </is>
      </c>
    </row>
    <row r="6">
      <c r="A6" s="3" t="inlineStr">
        <is>
          <t>1. Gelbe Felder sind Eingaben. Die eingetragenen Werte sind die erfundene Beispielkanzlei aus dem Artikel, keine Empfehlung.</t>
        </is>
      </c>
    </row>
    <row r="7">
      <c r="A7" s="3" t="inlineStr">
        <is>
          <t>2. Graue Felder rechnen. Die Formeln sind sichtbar und ungeschützt; die Datei enthält keine Makros.</t>
        </is>
      </c>
    </row>
    <row r="8">
      <c r="A8" s="3" t="inlineStr">
        <is>
          <t>3. Reihenfolge: Annahmen → Plan (Einnahmen und Kosten je Monat) → Investitionen → Steuern (Werte aus Ihren Bescheiden) → Rücklagesatz in den Annahmen nachtragen → jeden Monat Ist eintragen → Vergleich.</t>
        </is>
      </c>
    </row>
    <row r="9">
      <c r="A9" s="3" t="inlineStr">
        <is>
          <t>4. Tragen Sie keine Namen oder Daten von Mandanten ein; die Vorlage braucht nur Beträge.</t>
        </is>
      </c>
    </row>
    <row r="10">
      <c r="A10" s="3" t="inlineStr">
        <is>
          <t>5. Das Blatt „Partner“ ist für Sozietäten; Einzelkanzleien brauchen es nicht.</t>
        </is>
      </c>
    </row>
    <row r="11">
      <c r="A11" s="3" t="inlineStr">
        <is>
          <t>6. Neues Planjahr: Datei kopieren, Planjahr in „Annahmen“ ändern, Kontostände zum 1. Januar, Bescheide und Monatswerte ersetzen, Ist-Blatt leeren. Werte, die bei Erscheinen nur als Entwurf vorlagen (Bemessungsgrenze 2027), sind in der Beschriftung markiert.</t>
        </is>
      </c>
    </row>
    <row r="12">
      <c r="A12" s="3" t="inlineStr"/>
    </row>
    <row r="13">
      <c r="A13" s="9" t="inlineStr">
        <is>
          <t>Wichtige Annahmen und Grenzen</t>
        </is>
      </c>
    </row>
    <row r="14">
      <c r="A14" s="3" t="inlineStr">
        <is>
          <t>• Der Plan rechnet als Einnahmen-Überschuss-Rechnung (§ 4 Abs. 3 EStG) mit Zahlungen, nicht mit Rechnungen. Eine Rechtsanwalts-GmbH (§ 13 Abs. 3 GmbHG) oder eine als OHG oder KG eingetragene Kanzlei muss Bücher führen (§ 238 Abs. 1 HGB); sie plant den Gewinn nach erbrachten Leistungen, nicht nach Zahlungen, und die Zahlungen gesondert.</t>
        </is>
      </c>
    </row>
    <row r="15">
      <c r="A15" s="3" t="inlineStr">
        <is>
          <t>• Umsatzsteuer ist nicht enthalten. Sie nehmen sie ein und führen sie ab; halten Sie sie getrennt oder planen Sie sie im 13-Wochen-Liquiditätsplan von ratg.de.</t>
        </is>
      </c>
    </row>
    <row r="16">
      <c r="A16" s="3" t="inlineStr">
        <is>
          <t>• Durchlaufende Posten (z. B. Gerichtskosten, die Sie im Namen und für Rechnung des Mandanten vorstrecken) sind weder Einnahme noch Ausgabe (§ 4 Abs. 3 Satz 2 EStG) und stehen in keiner Zeile.</t>
        </is>
      </c>
    </row>
    <row r="17">
      <c r="A17" s="3" t="inlineStr">
        <is>
          <t>• Reserve: etwa drei Monatskosten auf dem Kanzleikonto (Annahme; Plan, Zeile 51). Das Steuerkonto und eine Kreditlinie zählen nicht dazu.</t>
        </is>
      </c>
    </row>
    <row r="18">
      <c r="A18" s="3" t="inlineStr">
        <is>
          <t>• Die Einkommensteuer ist eine Näherung mit dem Grundtarif, ohne Splitting, Kinderfreibeträge, weitere Sonderausgaben und Solidaritätszuschlag, das Planjahr mit dem Tarif 2026. Für Entscheidungen zählen die Zahlen Ihres Steuerberaters.</t>
        </is>
      </c>
    </row>
    <row r="19">
      <c r="A19" s="3" t="inlineStr">
        <is>
          <t>• Tragfähige Entnahme (Steuern, Zeile 26): Gewinn minus allem, was im Planjahr für Vorsorge, Einkommensteuer (auch Nachzahlungen für das Vorjahr) und Tilgung bezahlt wird, geteilt durch zwölf. Liegt Ihre Entnahme darüber, sinken Kanzlei- und Steuerkonto übers Jahr (Hinweis im Plan, Zeile 50).</t>
        </is>
      </c>
    </row>
    <row r="20">
      <c r="A20" s="3" t="inlineStr">
        <is>
          <t>• Versorgungswerk und Krankenkasse setzen Beiträge nach ihren eigenen Regeln fest; tragen Sie die Werte aus Ihren Bescheiden ein.</t>
        </is>
      </c>
    </row>
    <row r="21">
      <c r="A21" s="3" t="inlineStr">
        <is>
          <t>• Private Krankenversicherung: Blatt „Steuern“, Satz in Zeile 31 auf 0 setzen und die Monatsprämie in Zeile 38 eintragen. Eine Nachforderung nach dem Steuerbescheid gibt es dann nicht; Prämienänderungen tragen Sie selbst ein.</t>
        </is>
      </c>
    </row>
    <row r="22">
      <c r="A22" s="3" t="inlineStr">
        <is>
          <t>• Fremdgeld ist kein Geld der Kanzlei und gehört in keine Zeile dieser Vorlage. Es ist unverzüglich weiterzuleiten oder auf ein Anderkonto einzuzahlen (§ 43a Abs. 7 BRAO) und unverzüglich, spätestens mit Ende des Mandats abzurechnen (§ 4 Abs. 1 BORA). Ein Engpass im Plan wird nie mit Fremdgeld überbrückt.</t>
        </is>
      </c>
    </row>
    <row r="23">
      <c r="A23" s="3" t="inlineStr"/>
    </row>
    <row r="24">
      <c r="A24" s="9" t="inlineStr">
        <is>
          <t>Anfrage an die Steuerberatung (Muster zum Anpassen, im November)</t>
        </is>
      </c>
    </row>
    <row r="25">
      <c r="A25" s="3" t="inlineStr">
        <is>
          <t>Betreff: Planung 2027 – erwartete Einkommensteuer</t>
        </is>
      </c>
    </row>
    <row r="26">
      <c r="A26" s="3" t="inlineStr">
        <is>
          <t>Für mein Budget 2027 bitte ich um Ihre Schätzung: 1. Einkommensteuer 2026 nach dem bisherigen Stand und erwartete Abschlusszahlung; 2. wann der Bescheid für 2026 voraussichtlich kommt; 3. ob danach die Vorauszahlungen für 2027 steigen und auf welchen Betrag; 4. erwartete Einkommensteuer 2027 bei einem Gewinn von etwa [Betrag] €. Meine Honorareingänge 2026 nach Monaten lege ich bei. Eine grobe Schätzung genügt.</t>
        </is>
      </c>
    </row>
    <row r="27">
      <c r="A27" s="3" t="inlineStr"/>
    </row>
    <row r="28">
      <c r="A28" s="9" t="inlineStr">
        <is>
          <t>Nutzungsbedingungen</t>
        </is>
      </c>
    </row>
    <row r="29">
      <c r="A29" s="3" t="inlineStr">
        <is>
          <t>1. Sie dürfen unsere Vorlagen kostenlos in Ihrer Kanzlei oder Ihrem Unternehmen verwenden, ausfüllen und anpassen, Muster auch in Ihren Schreiben und Verträgen mit Mandanten.</t>
        </is>
      </c>
    </row>
    <row r="30">
      <c r="A30" s="3" t="inlineStr">
        <is>
          <t>2. Sie dürfen sie unverändert und mit der Angabe „Quelle: ratg.de“ weitergeben, etwa in Mitteilungen einer Kammer, eines Vereins oder an Kolleginnen und Kollegen.</t>
        </is>
      </c>
    </row>
    <row r="31">
      <c r="A31" s="3" t="inlineStr">
        <is>
          <t>3. Verkauf und Aufnahme in kostenpflichtige Sammlungen, Software oder Schulungsunterlagen nur mit unserer vorherigen Zustimmung (redaktion@ratg.de).</t>
        </is>
      </c>
    </row>
    <row r="32">
      <c r="A32" s="3" t="inlineStr">
        <is>
          <t>4. Die Vorlagen sind Arbeitshilfen; ihr Stand steht in jeder Datei (hier: 23.10.2026). Rechenblätter enthalten Beispielwerte, Muster müssen Sie an Ihren Fall anpassen. Die Vorlagen prüfen keinen Einzelfall und ersetzen keine Steuer- oder Rechtsberatung. Prüfen Sie Ergebnisse vor der Verwendung.</t>
        </is>
      </c>
    </row>
    <row r="33">
      <c r="A33" s="3" t="inlineStr">
        <is>
          <t>5. Wir haften für Vorsatz und grobe Fahrlässigkeit sowie für Schäden aus der Verletzung von Leben, Körper oder Gesundheit; im Übrigen ist die Haftung für die unentgeltlich überlassenen Vorlagen ausgeschlossen.</t>
        </is>
      </c>
    </row>
    <row r="34">
      <c r="A34" s="3" t="inlineStr">
        <is>
          <t>Vollständige Fassung: https://ratg.de/nutzungsbedingungen/</t>
        </is>
      </c>
    </row>
    <row r="35">
      <c r="A35" s="3" t="inlineStr"/>
    </row>
    <row r="36">
      <c r="A36" s="2" t="inlineStr">
        <is>
          <t>Herausgeber: Linqbiz GmbH, Angaben im Impressum unter https://ratg.de/impressum/.</t>
        </is>
      </c>
    </row>
  </sheetData>
  <pageMargins left="0.75" right="0.75" top="1" bottom="1" header="0.5" footer="0.5"/>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Finanzplanung der Kanzlei: Budget 2027 (Excel-Vorlage, Stand 10/2026)</dc:title>
  <dc:subject>Finanzplanung der Kanzlei: Budget, Entnahmen, Steuern und Rücklagen</dc:subject>
  <dcterms:created xsi:type="dcterms:W3CDTF">2026-10-23T19:20:21Z</dcterms:created>
  <dcterms:modified xsi:type="dcterms:W3CDTF">2026-10-23T19:20:21Z</dcterms:modified>
  <cp:lastModifiedBy>ratg.de</cp:lastModifiedBy>
</cp:coreProperties>
</file>